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weekly-status-report-templates - DE^JES^JFR^JIT^JPT^JJP/"/>
    </mc:Choice>
  </mc:AlternateContent>
  <xr:revisionPtr revIDLastSave="6" documentId="13_ncr:1_{631ACD70-A147-403C-83EF-E5AD3FA01427}" xr6:coauthVersionLast="47" xr6:coauthVersionMax="47" xr10:uidLastSave="{DA5144DC-8B0B-4E03-B75A-05C3EB1A5EDA}"/>
  <bookViews>
    <workbookView xWindow="-120" yWindow="-120" windowWidth="20730" windowHeight="11160" tabRatio="500" xr2:uid="{00000000-000D-0000-FFFF-FFFF00000000}"/>
  </bookViews>
  <sheets>
    <sheet name="EJEMPLO - Informe semanal de sp" sheetId="1" r:id="rId1"/>
    <sheet name="EN BLANCO - Informe semanal de " sheetId="10" r:id="rId2"/>
    <sheet name="Teclas desplegables" sheetId="9" r:id="rId3"/>
    <sheet name="- Renuncia -" sheetId="7" r:id="rId4"/>
  </sheets>
  <externalReferences>
    <externalReference r:id="rId5"/>
    <externalReference r:id="rId6"/>
    <externalReference r:id="rId7"/>
  </externalReferences>
  <definedNames>
    <definedName name="_xlnm.Print_Area" localSheetId="0">'EJEMPLO - Informe semanal de sp'!$B$1:$I$51</definedName>
    <definedName name="_xlnm.Print_Area" localSheetId="1">'EN BLANCO - Informe semanal de '!$B$1:$I$51</definedName>
    <definedName name="Priority">'[1]Brand Launch Strategy'!#REF!</definedName>
    <definedName name="Status">'Teclas desplegables'!$B$6:$B$7</definedName>
    <definedName name="Type" localSheetId="2">'[2]Risk Assessment &amp; Control'!#REF!</definedName>
    <definedName name="Type">'[3]Maintenance Work Order'!#REF!</definedName>
    <definedName name="YesNo">'Teclas desplegables'!#REF!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5" i="10" l="1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L61" i="10"/>
  <c r="H7" i="10"/>
  <c r="M61" i="10"/>
  <c r="M62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L57" i="10"/>
  <c r="L58" i="10"/>
  <c r="L59" i="10"/>
  <c r="L60" i="10"/>
  <c r="M57" i="10"/>
  <c r="M58" i="10"/>
  <c r="M59" i="10"/>
  <c r="M60" i="10"/>
  <c r="N57" i="10"/>
  <c r="N58" i="10"/>
  <c r="N59" i="10"/>
  <c r="N60" i="10"/>
  <c r="O57" i="10"/>
  <c r="O58" i="10"/>
  <c r="O59" i="10"/>
  <c r="O60" i="10"/>
  <c r="P57" i="10"/>
  <c r="P58" i="10"/>
  <c r="P59" i="10"/>
  <c r="P60" i="10"/>
  <c r="Q57" i="10"/>
  <c r="Q58" i="10"/>
  <c r="Q59" i="10"/>
  <c r="Q60" i="10"/>
  <c r="R57" i="10"/>
  <c r="R58" i="10"/>
  <c r="R59" i="10"/>
  <c r="R60" i="10"/>
  <c r="S57" i="10"/>
  <c r="S58" i="10"/>
  <c r="S59" i="10"/>
  <c r="S60" i="10"/>
  <c r="T57" i="10"/>
  <c r="T58" i="10"/>
  <c r="T59" i="10"/>
  <c r="T60" i="10"/>
  <c r="U57" i="10"/>
  <c r="U58" i="10"/>
  <c r="U59" i="10"/>
  <c r="U60" i="10"/>
  <c r="V57" i="10"/>
  <c r="V58" i="10"/>
  <c r="V59" i="10"/>
  <c r="V60" i="10"/>
  <c r="W57" i="10"/>
  <c r="W58" i="10"/>
  <c r="W59" i="10"/>
  <c r="W60" i="10"/>
  <c r="X57" i="10"/>
  <c r="X58" i="10"/>
  <c r="X59" i="10"/>
  <c r="X60" i="10"/>
  <c r="Y57" i="10"/>
  <c r="Y58" i="10"/>
  <c r="Y59" i="10"/>
  <c r="Y60" i="10"/>
  <c r="Z57" i="10"/>
  <c r="Z58" i="10"/>
  <c r="Z59" i="10"/>
  <c r="Z60" i="10"/>
  <c r="AA57" i="10"/>
  <c r="AA58" i="10"/>
  <c r="AA59" i="10"/>
  <c r="AA60" i="10"/>
  <c r="AB57" i="10"/>
  <c r="AB58" i="10"/>
  <c r="AB59" i="10"/>
  <c r="AB60" i="10"/>
  <c r="AC60" i="10"/>
  <c r="AC59" i="10"/>
  <c r="AC58" i="10"/>
  <c r="C54" i="10"/>
  <c r="C55" i="10"/>
  <c r="C56" i="10"/>
  <c r="C57" i="10"/>
  <c r="C58" i="10"/>
  <c r="D54" i="10"/>
  <c r="D55" i="10"/>
  <c r="D56" i="10"/>
  <c r="D57" i="10"/>
  <c r="D58" i="10"/>
  <c r="AC57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E7" i="10"/>
  <c r="G7" i="10"/>
  <c r="D7" i="10"/>
  <c r="F7" i="10"/>
  <c r="I3" i="10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E7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L61" i="1"/>
  <c r="H7" i="1"/>
  <c r="M61" i="1"/>
  <c r="M62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56" i="1"/>
  <c r="C54" i="1"/>
  <c r="G19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10" i="1"/>
  <c r="G7" i="1"/>
  <c r="D7" i="1"/>
  <c r="C56" i="1"/>
  <c r="C55" i="1"/>
  <c r="C57" i="1"/>
  <c r="C58" i="1"/>
  <c r="D56" i="1"/>
  <c r="D54" i="1"/>
  <c r="D55" i="1"/>
  <c r="D57" i="1"/>
  <c r="D58" i="1"/>
  <c r="F7" i="1"/>
  <c r="I3" i="1"/>
</calcChain>
</file>

<file path=xl/sharedStrings.xml><?xml version="1.0" encoding="utf-8"?>
<sst xmlns="http://schemas.openxmlformats.org/spreadsheetml/2006/main" count="219" uniqueCount="89">
  <si>
    <t>TOTAL</t>
  </si>
  <si>
    <t>Sprint 4</t>
  </si>
  <si>
    <t>Mitch A.</t>
  </si>
  <si>
    <t>00/00/0000</t>
  </si>
  <si>
    <t>00/00/0001</t>
  </si>
  <si>
    <t>00/00/0002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</si>
  <si>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</si>
  <si>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PANEL DE PMO</t>
  </si>
  <si>
    <t>TECLAS DESPLEGABLES</t>
  </si>
  <si>
    <t>PRIORIDAD</t>
  </si>
  <si>
    <t>ESTADO</t>
  </si>
  <si>
    <t>Baja</t>
  </si>
  <si>
    <t>NO SE HA INICIADO</t>
  </si>
  <si>
    <t>Media</t>
  </si>
  <si>
    <t>EN CURSO</t>
  </si>
  <si>
    <t>Alta</t>
  </si>
  <si>
    <t>COMPLETO</t>
  </si>
  <si>
    <t>DEMORADO</t>
  </si>
  <si>
    <t>PLANTILLA DE INFORME DE ESTADO SEMANAL DE SPRINTS AGILE</t>
  </si>
  <si>
    <t>NOMBRE DEL PROYECTO</t>
  </si>
  <si>
    <t>FECHA DE INICIO</t>
  </si>
  <si>
    <t>FECHA DE FINALIZACIÓN</t>
  </si>
  <si>
    <t>ESTADO DEL PROGRAMA</t>
  </si>
  <si>
    <t>PORCENTAJE COMPLETO</t>
  </si>
  <si>
    <t>[ nombre ]</t>
  </si>
  <si>
    <t>En curso</t>
  </si>
  <si>
    <t>––––– Cantidad de puntos de historia ––––</t>
  </si>
  <si>
    <t>FINALIZACIONES
PROMEDIO</t>
  </si>
  <si>
    <t>CANTIDAD TOTAL
DE SEMANAS</t>
  </si>
  <si>
    <t>INCOMPLETO</t>
  </si>
  <si>
    <t>NOMBRE DE LA TAREA</t>
  </si>
  <si>
    <t>ASIGNADA A</t>
  </si>
  <si>
    <t>PUNTOS DE HISTORIA</t>
  </si>
  <si>
    <t>INICIO</t>
  </si>
  <si>
    <t>FINALIZACIÓN</t>
  </si>
  <si>
    <t>DÍAS PLANIFICADOS</t>
  </si>
  <si>
    <t>DÍAS REALES</t>
  </si>
  <si>
    <t>ESTADO GENERAL DEL PROYECTO</t>
  </si>
  <si>
    <t>DIAGRAMA DE EVOLUCIÓN SEMANAL</t>
  </si>
  <si>
    <t>REVISIÓN</t>
  </si>
  <si>
    <t>¿QUÉ HICIMOS BIEN ESTA SEMANA?</t>
  </si>
  <si>
    <t>¿QUÉ PODEMOS MEJORAR LA PRÓXIMA SEMANA?</t>
  </si>
  <si>
    <t>RIESGOS Y OBSTÁCULOS</t>
  </si>
  <si>
    <t>RIESGO/OBSTÁCULO</t>
  </si>
  <si>
    <t>FECHA DEL INFORME</t>
  </si>
  <si>
    <t>FECHA DE RESOLUCIÓN</t>
  </si>
  <si>
    <t>RESOLUCIÓN</t>
  </si>
  <si>
    <t>Descripción del riesgo 1</t>
  </si>
  <si>
    <t>Resolución 1</t>
  </si>
  <si>
    <t>Descripción del riesgo 2</t>
  </si>
  <si>
    <t>Resolución 2</t>
  </si>
  <si>
    <t>Descripción del riesgo 3</t>
  </si>
  <si>
    <t>Resolución 3</t>
  </si>
  <si>
    <t>Descripción del riesgo 4</t>
  </si>
  <si>
    <t>Resolución 4</t>
  </si>
  <si>
    <t>DESGLOSE DEL ESTADO</t>
  </si>
  <si>
    <t>– se calcula automáticamente –</t>
  </si>
  <si>
    <t>DATOS DE EVOLUCIÓN ***NO ELIMINAR***</t>
  </si>
  <si>
    <t>semana1</t>
  </si>
  <si>
    <t>semana2</t>
  </si>
  <si>
    <t>semana3</t>
  </si>
  <si>
    <t>semana4</t>
  </si>
  <si>
    <t>semana5</t>
  </si>
  <si>
    <t>semana6</t>
  </si>
  <si>
    <t>semana7</t>
  </si>
  <si>
    <t>semana8</t>
  </si>
  <si>
    <t>semana9</t>
  </si>
  <si>
    <t>semana10</t>
  </si>
  <si>
    <t>semana11</t>
  </si>
  <si>
    <t>semana12</t>
  </si>
  <si>
    <t>semana13</t>
  </si>
  <si>
    <t>semana14</t>
  </si>
  <si>
    <t>semana15</t>
  </si>
  <si>
    <t>semana16</t>
  </si>
  <si>
    <t>semana17</t>
  </si>
  <si>
    <t>ESFUERZO RESTANTE</t>
  </si>
  <si>
    <t>EVOLUCIÓN IDEAL</t>
  </si>
  <si>
    <t>HAGA CLIC AQUÍ PARA CREAR EN SMARTSHEET</t>
  </si>
  <si>
    <t>Sprint 1</t>
  </si>
  <si>
    <t>Parte A</t>
  </si>
  <si>
    <t>Alex B.</t>
  </si>
  <si>
    <t>Parte B</t>
  </si>
  <si>
    <t>Frank C.</t>
  </si>
  <si>
    <t>Parte C</t>
  </si>
  <si>
    <t>Jacob S.</t>
  </si>
  <si>
    <t>Sprint 2</t>
  </si>
  <si>
    <t>Alba P.</t>
  </si>
  <si>
    <t>Sprint 3</t>
  </si>
  <si>
    <t>Kennedy 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</si>
</sst>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mm/dd/yy;@"/>
  </numFmts>
  <fonts count="3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sz val="22"/>
      <color theme="0"/>
      <name val="Century Gothic"/>
      <family val="2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b/>
      <sz val="13"/>
      <color theme="1"/>
      <name val="Century Gothic"/>
      <family val="1"/>
    </font>
    <font>
      <b/>
      <sz val="11"/>
      <color theme="1"/>
      <name val="Century Gothic"/>
      <family val="1"/>
    </font>
    <font>
      <b/>
      <sz val="10"/>
      <color theme="0"/>
      <name val="Century Gothic"/>
      <family val="1"/>
    </font>
    <font>
      <sz val="20"/>
      <color theme="1"/>
      <name val="Century Gothic"/>
      <family val="1"/>
    </font>
    <font>
      <sz val="8"/>
      <name val="Calibri"/>
      <family val="2"/>
      <scheme val="minor"/>
    </font>
    <font>
      <b/>
      <sz val="24"/>
      <color theme="1" tint="0.34998626667073579"/>
      <name val="Century Gothic"/>
      <family val="1"/>
    </font>
    <font>
      <b/>
      <sz val="12"/>
      <color theme="1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1A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2B4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medium">
        <color theme="0" tint="-0.24997711111789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indent="1"/>
    </xf>
    <xf numFmtId="0" fontId="7" fillId="0" borderId="2" xfId="12" applyFont="1" applyBorder="1" applyAlignment="1">
      <alignment horizontal="left" vertical="center" wrapText="1" indent="2"/>
    </xf>
    <xf numFmtId="0" fontId="6" fillId="0" borderId="0" xfId="12"/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6" fillId="0" borderId="0" xfId="0" applyFont="1"/>
    <xf numFmtId="0" fontId="3" fillId="5" borderId="1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 indent="1" readingOrder="1"/>
    </xf>
    <xf numFmtId="0" fontId="17" fillId="6" borderId="1" xfId="0" applyFont="1" applyFill="1" applyBorder="1" applyAlignment="1">
      <alignment horizontal="left" vertical="center" indent="1"/>
    </xf>
    <xf numFmtId="0" fontId="17" fillId="7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17" fillId="8" borderId="1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3" fillId="10" borderId="1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9" fontId="3" fillId="0" borderId="1" xfId="0" applyNumberFormat="1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vertical="center" indent="1"/>
    </xf>
    <xf numFmtId="1" fontId="3" fillId="4" borderId="1" xfId="0" applyNumberFormat="1" applyFont="1" applyFill="1" applyBorder="1" applyAlignment="1">
      <alignment horizontal="left" vertical="center" indent="1"/>
    </xf>
    <xf numFmtId="9" fontId="3" fillId="4" borderId="1" xfId="14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left" vertical="center" indent="1"/>
    </xf>
    <xf numFmtId="10" fontId="3" fillId="11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10" fontId="12" fillId="2" borderId="4" xfId="0" applyNumberFormat="1" applyFont="1" applyFill="1" applyBorder="1" applyAlignment="1">
      <alignment horizontal="center" vertical="top" wrapText="1"/>
    </xf>
    <xf numFmtId="165" fontId="21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9" fontId="21" fillId="2" borderId="0" xfId="14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left" vertical="center" indent="1"/>
    </xf>
    <xf numFmtId="0" fontId="3" fillId="10" borderId="11" xfId="0" applyFont="1" applyFill="1" applyBorder="1" applyAlignment="1">
      <alignment wrapText="1"/>
    </xf>
    <xf numFmtId="0" fontId="3" fillId="10" borderId="12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5" fillId="3" borderId="0" xfId="13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vertical="top" wrapText="1"/>
    </xf>
    <xf numFmtId="0" fontId="23" fillId="14" borderId="1" xfId="0" applyFont="1" applyFill="1" applyBorder="1" applyAlignment="1">
      <alignment horizontal="left" vertical="center" indent="1"/>
    </xf>
    <xf numFmtId="0" fontId="23" fillId="14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9" fillId="2" borderId="16" xfId="0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9" fontId="19" fillId="2" borderId="17" xfId="1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15" borderId="5" xfId="14" applyNumberFormat="1" applyFont="1" applyFill="1" applyBorder="1" applyAlignment="1">
      <alignment horizontal="center" vertical="center" wrapText="1"/>
    </xf>
    <xf numFmtId="0" fontId="24" fillId="12" borderId="5" xfId="14" applyNumberFormat="1" applyFont="1" applyFill="1" applyBorder="1" applyAlignment="1">
      <alignment horizontal="center" vertical="center" wrapText="1"/>
    </xf>
    <xf numFmtId="165" fontId="3" fillId="1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top" indent="1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24" fillId="4" borderId="5" xfId="14" applyNumberFormat="1" applyFont="1" applyFill="1" applyBorder="1" applyAlignment="1">
      <alignment horizontal="center" vertical="center" wrapText="1"/>
    </xf>
    <xf numFmtId="2" fontId="24" fillId="11" borderId="5" xfId="14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22" fillId="2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9" fillId="3" borderId="4" xfId="13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center" wrapText="1" indent="1"/>
    </xf>
    <xf numFmtId="0" fontId="19" fillId="2" borderId="15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/>
    </xf>
    <xf numFmtId="0" fontId="27" fillId="2" borderId="0" xfId="0" applyFont="1" applyFill="1" applyAlignment="1">
      <alignment horizontal="center" vertical="center" wrapText="1"/>
    </xf>
    <xf numFmtId="0" fontId="8" fillId="3" borderId="4" xfId="13" applyFill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  <cellStyle name="Percent" xfId="14" builtinId="5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4"/>
  <colors>
    <mruColors>
      <color rgb="FFABEFEA"/>
      <color rgb="FFED7D31"/>
      <color rgb="FFFFB2B4"/>
      <color rgb="FFEAEEF3"/>
      <color rgb="FFFFE1A9"/>
      <color rgb="FFF4B183"/>
      <color rgb="FFFFE0A9"/>
      <color rgb="FF00DBF0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DD-F141-ADE6-694C8238060A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DD-F141-ADE6-694C8238060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DD-F141-ADE6-694C8238060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DD-F141-ADE6-694C82380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'EJEMPLO - Informe semanal de sp'!$B$54:$B$57</c:f>
              <c:strCache>
                <c:ptCount val="4"/>
                <c:pt idx="0">
                  <c:v>NO SE HA INICIADO</c:v>
                </c:pt>
                <c:pt idx="1">
                  <c:v>EN CURSO</c:v>
                </c:pt>
                <c:pt idx="2">
                  <c:v>COMPLETO</c:v>
                </c:pt>
                <c:pt idx="3">
                  <c:v>DEMORADO</c:v>
                </c:pt>
              </c:strCache>
            </c:strRef>
          </c:cat>
          <c:val>
            <c:numRef>
              <c:f>'EJEMPLO - Informe semanal de sp'!$C$54:$C$57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DD-F141-ADE6-694C8238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0292560"/>
        <c:axId val="590299616"/>
      </c:barChart>
      <c:valAx>
        <c:axId val="5902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92560"/>
        <c:crosses val="autoZero"/>
        <c:crossBetween val="between"/>
      </c:valAx>
      <c:catAx>
        <c:axId val="59029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99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582093582328757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'EJEMPLO - Informe semanal de sp'!$K$55</c:f>
              <c:strCache>
                <c:ptCount val="1"/>
                <c:pt idx="0">
                  <c:v>PUNTOS DE HISTORIA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'EJEMPLO - Informe semanal de sp'!$L$54:$AB$54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'EJEMPLO - Informe semanal de sp'!$L$55:$AB$55</c:f>
              <c:numCache>
                <c:formatCode>General</c:formatCode>
                <c:ptCount val="17"/>
                <c:pt idx="0">
                  <c:v>18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B-7C4F-ACCA-3EE749DE6015}"/>
            </c:ext>
          </c:extLst>
        </c:ser>
        <c:ser>
          <c:idx val="1"/>
          <c:order val="1"/>
          <c:tx>
            <c:strRef>
              <c:f>'EJEMPLO - Informe semanal de sp'!$K$56</c:f>
              <c:strCache>
                <c:ptCount val="1"/>
                <c:pt idx="0">
                  <c:v>COMPLETO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'EJEMPLO - Informe semanal de sp'!$L$54:$AB$54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'EJEMPLO - Informe semanal de sp'!$L$56:$AB$56</c:f>
              <c:numCache>
                <c:formatCode>General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5B-7C4F-ACCA-3EE749DE6015}"/>
            </c:ext>
          </c:extLst>
        </c:ser>
        <c:ser>
          <c:idx val="2"/>
          <c:order val="2"/>
          <c:tx>
            <c:strRef>
              <c:f>'EJEMPLO - Informe semanal de sp'!$K$61</c:f>
              <c:strCache>
                <c:ptCount val="1"/>
                <c:pt idx="0">
                  <c:v>EVOLUCIÓN IDEAL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'EJEMPLO - Informe semanal de sp'!$L$54:$AB$54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'EJEMPLO - Informe semanal de sp'!$L$61:$AB$61</c:f>
              <c:numCache>
                <c:formatCode>General</c:formatCode>
                <c:ptCount val="17"/>
                <c:pt idx="0">
                  <c:v>54</c:v>
                </c:pt>
                <c:pt idx="1">
                  <c:v>49.5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31.5</c:v>
                </c:pt>
                <c:pt idx="6">
                  <c:v>27</c:v>
                </c:pt>
                <c:pt idx="7">
                  <c:v>22.5</c:v>
                </c:pt>
                <c:pt idx="8">
                  <c:v>18</c:v>
                </c:pt>
                <c:pt idx="9">
                  <c:v>13.5</c:v>
                </c:pt>
                <c:pt idx="10">
                  <c:v>9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5B-7C4F-ACCA-3EE749DE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292952"/>
        <c:axId val="590294912"/>
      </c:lineChart>
      <c:catAx>
        <c:axId val="59029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94912"/>
        <c:crosses val="autoZero"/>
        <c:auto val="1"/>
        <c:lblAlgn val="ctr"/>
        <c:lblOffset val="100"/>
        <c:noMultiLvlLbl val="0"/>
      </c:catAx>
      <c:valAx>
        <c:axId val="59029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9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'EJEMPLO - Informe semanal de sp'!$K$60</c:f>
              <c:strCache>
                <c:ptCount val="1"/>
                <c:pt idx="0">
                  <c:v>ESFUERZO RESTANTE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EFEA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'EJEMPLO - Informe semanal de sp'!$L$54:$AB$54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'EJEMPLO - Informe semanal de sp'!$L$60:$AB$60</c:f>
              <c:numCache>
                <c:formatCode>General</c:formatCode>
                <c:ptCount val="17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3-DC4A-8F61-837B6928150C}"/>
            </c:ext>
          </c:extLst>
        </c:ser>
        <c:ser>
          <c:idx val="2"/>
          <c:order val="1"/>
          <c:tx>
            <c:strRef>
              <c:f>'EJEMPLO - Informe semanal de sp'!$K$61</c:f>
              <c:strCache>
                <c:ptCount val="1"/>
                <c:pt idx="0">
                  <c:v>EVOLUCIÓN IDEAL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'EJEMPLO - Informe semanal de sp'!$L$54:$AB$54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'EJEMPLO - Informe semanal de sp'!$L$61:$AB$61</c:f>
              <c:numCache>
                <c:formatCode>General</c:formatCode>
                <c:ptCount val="17"/>
                <c:pt idx="0">
                  <c:v>54</c:v>
                </c:pt>
                <c:pt idx="1">
                  <c:v>49.5</c:v>
                </c:pt>
                <c:pt idx="2">
                  <c:v>45</c:v>
                </c:pt>
                <c:pt idx="3">
                  <c:v>40.5</c:v>
                </c:pt>
                <c:pt idx="4">
                  <c:v>36</c:v>
                </c:pt>
                <c:pt idx="5">
                  <c:v>31.5</c:v>
                </c:pt>
                <c:pt idx="6">
                  <c:v>27</c:v>
                </c:pt>
                <c:pt idx="7">
                  <c:v>22.5</c:v>
                </c:pt>
                <c:pt idx="8">
                  <c:v>18</c:v>
                </c:pt>
                <c:pt idx="9">
                  <c:v>13.5</c:v>
                </c:pt>
                <c:pt idx="10">
                  <c:v>9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E3-DC4A-8F61-837B69281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293344"/>
        <c:axId val="590295696"/>
      </c:lineChart>
      <c:catAx>
        <c:axId val="59029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95696"/>
        <c:crosses val="autoZero"/>
        <c:auto val="1"/>
        <c:lblAlgn val="ctr"/>
        <c:lblOffset val="100"/>
        <c:noMultiLvlLbl val="0"/>
      </c:catAx>
      <c:valAx>
        <c:axId val="5902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9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C-1B40-815D-C71E2644D88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C-1B40-815D-C71E2644D8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C-1B40-815D-C71E2644D8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C-1B40-815D-C71E2644D8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 BLANCO - Informe semanal de '!$B$54:$B$57</c:f>
              <c:strCache>
                <c:ptCount val="4"/>
                <c:pt idx="0">
                  <c:v>NO SE HA INICIADO</c:v>
                </c:pt>
                <c:pt idx="1">
                  <c:v>EN CURSO</c:v>
                </c:pt>
                <c:pt idx="2">
                  <c:v>COMPLETO</c:v>
                </c:pt>
                <c:pt idx="3">
                  <c:v>DEMORADO</c:v>
                </c:pt>
              </c:strCache>
            </c:strRef>
          </c:cat>
          <c:val>
            <c:numRef>
              <c:f>'EN BLANCO - Informe semanal de '!$C$54:$C$57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7C-1B40-815D-C71E2644D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0297264"/>
        <c:axId val="590296480"/>
      </c:barChart>
      <c:valAx>
        <c:axId val="59029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97264"/>
        <c:crosses val="autoZero"/>
        <c:crossBetween val="between"/>
      </c:valAx>
      <c:catAx>
        <c:axId val="59029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90296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44515722145608"/>
          <c:y val="0.67398169036633826"/>
          <c:w val="0.27255484277854392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 BLANCO - Informe semanal de '!$K$55</c:f>
              <c:strCache>
                <c:ptCount val="1"/>
                <c:pt idx="0">
                  <c:v>PUNTOS DE HISTORIA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'EN BLANCO - Informe semanal de 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'EN BLANCO - Informe semanal de '!$L$55:$AB$55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94-DA47-87B9-A1B658E11F24}"/>
            </c:ext>
          </c:extLst>
        </c:ser>
        <c:ser>
          <c:idx val="1"/>
          <c:order val="1"/>
          <c:tx>
            <c:strRef>
              <c:f>'EN BLANCO - Informe semanal de '!$K$56</c:f>
              <c:strCache>
                <c:ptCount val="1"/>
                <c:pt idx="0">
                  <c:v>COMPLETO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'EN BLANCO - Informe semanal de 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'EN BLANCO - Informe semanal de '!$L$56:$AB$56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4-DA47-87B9-A1B658E11F24}"/>
            </c:ext>
          </c:extLst>
        </c:ser>
        <c:ser>
          <c:idx val="2"/>
          <c:order val="2"/>
          <c:tx>
            <c:strRef>
              <c:f>'EN BLANCO - Informe semanal de '!$K$61</c:f>
              <c:strCache>
                <c:ptCount val="1"/>
                <c:pt idx="0">
                  <c:v>EVOLUCIÓN IDEAL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'EN BLANCO - Informe semanal de 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'EN BLANCO - Informe semanal de '!$L$61:$AB$61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94-DA47-87B9-A1B658E11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296872"/>
        <c:axId val="590297656"/>
      </c:lineChart>
      <c:catAx>
        <c:axId val="59029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97656"/>
        <c:crosses val="autoZero"/>
        <c:auto val="1"/>
        <c:lblAlgn val="ctr"/>
        <c:lblOffset val="100"/>
        <c:noMultiLvlLbl val="0"/>
      </c:catAx>
      <c:valAx>
        <c:axId val="59029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29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'EN BLANCO - Informe semanal de '!$K$60</c:f>
              <c:strCache>
                <c:ptCount val="1"/>
                <c:pt idx="0">
                  <c:v>ESFUERZO RESTANTE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ABEFEA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strRef>
              <c:f>'EN BLANCO - Informe semanal de 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'EN BLANCO - Informe semanal de '!$L$60:$AB$60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1-964D-B206-AE4535440091}"/>
            </c:ext>
          </c:extLst>
        </c:ser>
        <c:ser>
          <c:idx val="2"/>
          <c:order val="1"/>
          <c:tx>
            <c:strRef>
              <c:f>'EN BLANCO - Informe semanal de '!$K$61</c:f>
              <c:strCache>
                <c:ptCount val="1"/>
                <c:pt idx="0">
                  <c:v>EVOLUCIÓN IDEAL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strRef>
              <c:f>'EN BLANCO - Informe semanal de '!$L$54:$AB$54</c:f>
              <c:strCache>
                <c:ptCount val="17"/>
                <c:pt idx="0">
                  <c:v>semana1</c:v>
                </c:pt>
                <c:pt idx="1">
                  <c:v>semana2</c:v>
                </c:pt>
                <c:pt idx="2">
                  <c:v>semana3</c:v>
                </c:pt>
                <c:pt idx="3">
                  <c:v>semana4</c:v>
                </c:pt>
                <c:pt idx="4">
                  <c:v>semana5</c:v>
                </c:pt>
                <c:pt idx="5">
                  <c:v>semana6</c:v>
                </c:pt>
                <c:pt idx="6">
                  <c:v>semana7</c:v>
                </c:pt>
                <c:pt idx="7">
                  <c:v>semana8</c:v>
                </c:pt>
                <c:pt idx="8">
                  <c:v>semana9</c:v>
                </c:pt>
                <c:pt idx="9">
                  <c:v>semana10</c:v>
                </c:pt>
                <c:pt idx="10">
                  <c:v>semana11</c:v>
                </c:pt>
                <c:pt idx="11">
                  <c:v>semana12</c:v>
                </c:pt>
                <c:pt idx="12">
                  <c:v>semana13</c:v>
                </c:pt>
                <c:pt idx="13">
                  <c:v>semana14</c:v>
                </c:pt>
                <c:pt idx="14">
                  <c:v>semana15</c:v>
                </c:pt>
                <c:pt idx="15">
                  <c:v>semana16</c:v>
                </c:pt>
                <c:pt idx="16">
                  <c:v>semana17</c:v>
                </c:pt>
              </c:strCache>
            </c:strRef>
          </c:cat>
          <c:val>
            <c:numRef>
              <c:f>'EN BLANCO - Informe semanal de '!$L$61:$AB$61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1-964D-B206-AE4535440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54576"/>
        <c:axId val="162652224"/>
      </c:lineChart>
      <c:catAx>
        <c:axId val="16265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2652224"/>
        <c:crosses val="autoZero"/>
        <c:auto val="1"/>
        <c:lblAlgn val="ctr"/>
        <c:lblOffset val="100"/>
        <c:noMultiLvlLbl val="0"/>
      </c:catAx>
      <c:valAx>
        <c:axId val="16265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6265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es.smartsheet.com/try-it?trp=27831&amp;utm_language=ES&amp;utm_source=template-excel&amp;utm_medium=content&amp;utm_campaign=ic-Weekly+Agile+Sprint+Status+Report-excel-27831-es&amp;lpa=ic+Weekly+Agile+Sprint+Status+Report+excel+27831+e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1739900</xdr:colOff>
      <xdr:row>32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41C8DD-E0C3-C047-A486-4A34290F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65</xdr:row>
      <xdr:rowOff>82550</xdr:rowOff>
    </xdr:from>
    <xdr:to>
      <xdr:col>30</xdr:col>
      <xdr:colOff>228600</xdr:colOff>
      <xdr:row>95</xdr:row>
      <xdr:rowOff>147320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0C16AB-CFFD-723B-5551-B57CCD41A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146050</xdr:colOff>
      <xdr:row>27</xdr:row>
      <xdr:rowOff>19050</xdr:rowOff>
    </xdr:from>
    <xdr:to>
      <xdr:col>8</xdr:col>
      <xdr:colOff>1562100</xdr:colOff>
      <xdr:row>43</xdr:row>
      <xdr:rowOff>228600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0B1FAB-1E1D-5D8B-CDA9-89E6D5F43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30</xdr:col>
      <xdr:colOff>90654</xdr:colOff>
      <xdr:row>0</xdr:row>
      <xdr:rowOff>19051</xdr:rowOff>
    </xdr:from>
    <xdr:to>
      <xdr:col>33</xdr:col>
      <xdr:colOff>38100</xdr:colOff>
      <xdr:row>0</xdr:row>
      <xdr:rowOff>495301</xdr:rowOff>
    </xdr:to>
    <xdr:pic>
      <xdr:nvPicPr>
        <xdr:cNvPr id="3" name="Picture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092212-9C19-6943-71BA-199B289F8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818679" y="19051"/>
          <a:ext cx="2462046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3</xdr:col>
      <xdr:colOff>1739900</xdr:colOff>
      <xdr:row>32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B6C08B-6549-6E4D-8250-69CAD6C65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260350</xdr:colOff>
      <xdr:row>65</xdr:row>
      <xdr:rowOff>82550</xdr:rowOff>
    </xdr:from>
    <xdr:to>
      <xdr:col>30</xdr:col>
      <xdr:colOff>228600</xdr:colOff>
      <xdr:row>95</xdr:row>
      <xdr:rowOff>147320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2A48C8-AC7E-C046-9587-41A68A10E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146050</xdr:colOff>
      <xdr:row>27</xdr:row>
      <xdr:rowOff>19050</xdr:rowOff>
    </xdr:from>
    <xdr:to>
      <xdr:col>8</xdr:col>
      <xdr:colOff>1562100</xdr:colOff>
      <xdr:row>43</xdr:row>
      <xdr:rowOff>228600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0B37CE-EECB-6F43-ACF1-EEB6436A6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rand-Launch-Strategy-Template1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rand Launch Strategy"/>
      <sheetName val="- Disclaimer -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831&amp;utm_language=ES&amp;utm_source=template-excel&amp;utm_medium=content&amp;utm_campaign=ic-Weekly+Agile+Sprint+Status+Report-excel-27831-es&amp;lpa=ic+Weekly+Agile+Sprint+Status+Report+excel+27831+es" TargetMode="Externa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bit.ly/3B36Db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B36Db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K157"/>
  <sheetViews>
    <sheetView showGridLines="0" tabSelected="1" topLeftCell="B1" workbookViewId="0">
      <pane ySplit="1" topLeftCell="A56" activePane="bottomLeft" state="frozen"/>
      <selection pane="bottomLeft" activeCell="C64" sqref="C64"/>
    </sheetView>
  </sheetViews>
  <sheetFormatPr defaultColWidth="11" defaultRowHeight="13.5"/>
  <cols>
    <col min="1" max="1" width="3.375" style="1" customWidth="1"/>
    <col min="2" max="2" width="29.625" style="1" customWidth="1"/>
    <col min="3" max="3" width="22.875" style="1" customWidth="1"/>
    <col min="4" max="6" width="27.875" style="1" customWidth="1"/>
    <col min="7" max="8" width="29.625" style="1" customWidth="1"/>
    <col min="9" max="9" width="27.875" style="1" customWidth="1"/>
    <col min="10" max="10" width="3.375" style="1" customWidth="1"/>
    <col min="11" max="11" width="18.625" style="1" customWidth="1"/>
    <col min="12" max="28" width="10.125" style="1" customWidth="1"/>
    <col min="29" max="29" width="10.875" style="1" customWidth="1"/>
    <col min="30" max="16384" width="11" style="1"/>
  </cols>
  <sheetData>
    <row r="1" spans="1:115" s="13" customFormat="1" ht="42" customHeight="1">
      <c r="A1" s="6"/>
      <c r="B1" s="73" t="s">
        <v>18</v>
      </c>
      <c r="C1" s="8"/>
      <c r="D1" s="7"/>
      <c r="E1" s="9"/>
      <c r="F1" s="9"/>
      <c r="G1" s="9"/>
      <c r="H1" s="8"/>
      <c r="I1" s="8"/>
      <c r="J1" s="10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12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8"/>
      <c r="CI1" s="8"/>
      <c r="CJ1" s="12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K1" s="14"/>
    </row>
    <row r="2" spans="1:115" ht="20.100000000000001" customHeight="1">
      <c r="A2" s="2"/>
      <c r="B2" s="88" t="s">
        <v>19</v>
      </c>
      <c r="C2" s="88"/>
      <c r="D2" s="37" t="s">
        <v>20</v>
      </c>
      <c r="E2" s="37" t="s">
        <v>21</v>
      </c>
      <c r="F2" s="53"/>
      <c r="G2" s="53"/>
      <c r="H2" s="37" t="s">
        <v>22</v>
      </c>
      <c r="I2" s="38" t="s">
        <v>23</v>
      </c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15" ht="60" customHeight="1" thickBot="1">
      <c r="A3" s="2"/>
      <c r="B3" s="89" t="s">
        <v>24</v>
      </c>
      <c r="C3" s="90"/>
      <c r="D3" s="58">
        <v>47032</v>
      </c>
      <c r="E3" s="59">
        <v>47110</v>
      </c>
      <c r="F3" s="60"/>
      <c r="G3" s="60"/>
      <c r="H3" s="61" t="s">
        <v>25</v>
      </c>
      <c r="I3" s="62">
        <f>'EJEMPLO - Informe semanal de sp'!D56</f>
        <v>0.16666666666666666</v>
      </c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15" ht="14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115" ht="20.100000000000001" customHeight="1">
      <c r="A5" s="2"/>
      <c r="D5" s="92" t="s">
        <v>26</v>
      </c>
      <c r="E5" s="92"/>
      <c r="F5" s="92"/>
      <c r="G5" s="85" t="s">
        <v>27</v>
      </c>
      <c r="H5" s="85" t="s">
        <v>28</v>
      </c>
      <c r="I5" s="39"/>
      <c r="J5" s="40"/>
      <c r="K5" s="2"/>
      <c r="L5" s="4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115" ht="20.100000000000001" customHeight="1">
      <c r="A6" s="2"/>
      <c r="D6" s="42" t="s">
        <v>0</v>
      </c>
      <c r="E6" s="42" t="s">
        <v>16</v>
      </c>
      <c r="F6" s="42" t="s">
        <v>29</v>
      </c>
      <c r="G6" s="86"/>
      <c r="H6" s="86"/>
      <c r="I6" s="39"/>
      <c r="J6" s="40"/>
      <c r="K6" s="2"/>
      <c r="L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115" ht="57.95" customHeight="1" thickBot="1">
      <c r="A7" s="2"/>
      <c r="D7" s="63">
        <f>SUM(D11:D25)</f>
        <v>54</v>
      </c>
      <c r="E7" s="64">
        <f>SUMIF(I10:I25,"*"&amp;'Teclas desplegables'!D6&amp;"*",D10:D25)</f>
        <v>4</v>
      </c>
      <c r="F7" s="65">
        <f>SUM(D7-E7)</f>
        <v>50</v>
      </c>
      <c r="G7" s="78">
        <f>(E7/4)</f>
        <v>1</v>
      </c>
      <c r="H7" s="77">
        <f>ROUNDUP((DATEDIF(D3, E3, "d") / 7), 0)</f>
        <v>12</v>
      </c>
      <c r="I7" s="39"/>
      <c r="J7" s="40"/>
      <c r="K7" s="2"/>
      <c r="L7" s="4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115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115" ht="24.95" customHeight="1">
      <c r="A9" s="2"/>
      <c r="B9" s="54" t="s">
        <v>30</v>
      </c>
      <c r="C9" s="54" t="s">
        <v>31</v>
      </c>
      <c r="D9" s="55" t="s">
        <v>32</v>
      </c>
      <c r="E9" s="55" t="s">
        <v>33</v>
      </c>
      <c r="F9" s="55" t="s">
        <v>34</v>
      </c>
      <c r="G9" s="55" t="s">
        <v>35</v>
      </c>
      <c r="H9" s="55" t="s">
        <v>36</v>
      </c>
      <c r="I9" s="54" t="s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115" ht="24.95" customHeight="1">
      <c r="A10" s="2"/>
      <c r="B10" s="27" t="s">
        <v>78</v>
      </c>
      <c r="C10" s="27" t="s">
        <v>2</v>
      </c>
      <c r="D10" s="27"/>
      <c r="E10" s="66">
        <v>47032</v>
      </c>
      <c r="F10" s="66">
        <v>47051</v>
      </c>
      <c r="G10" s="56">
        <f>IF(F10=0,"",F10-E10+1)</f>
        <v>20</v>
      </c>
      <c r="H10" s="56"/>
      <c r="I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115" ht="24.95" customHeight="1">
      <c r="A11" s="2"/>
      <c r="B11" s="3" t="s">
        <v>79</v>
      </c>
      <c r="C11" s="3" t="s">
        <v>80</v>
      </c>
      <c r="D11" s="30">
        <v>3</v>
      </c>
      <c r="E11" s="67">
        <v>47032</v>
      </c>
      <c r="F11" s="67">
        <v>47033</v>
      </c>
      <c r="G11" s="68">
        <f t="shared" ref="G11:G25" si="0">IF(F11=0,"",F11-E11+1)</f>
        <v>2</v>
      </c>
      <c r="H11" s="57"/>
      <c r="I11" s="29" t="s">
        <v>16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115" ht="24.95" customHeight="1">
      <c r="A12" s="2"/>
      <c r="B12" s="3" t="s">
        <v>81</v>
      </c>
      <c r="C12" s="3" t="s">
        <v>82</v>
      </c>
      <c r="D12" s="30">
        <v>6</v>
      </c>
      <c r="E12" s="67">
        <v>47033</v>
      </c>
      <c r="F12" s="67">
        <v>47036</v>
      </c>
      <c r="G12" s="68">
        <f t="shared" si="0"/>
        <v>4</v>
      </c>
      <c r="H12" s="57"/>
      <c r="I12" s="29" t="s">
        <v>14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115" ht="24.95" customHeight="1">
      <c r="A13" s="2"/>
      <c r="B13" s="3" t="s">
        <v>83</v>
      </c>
      <c r="C13" s="3" t="s">
        <v>84</v>
      </c>
      <c r="D13" s="30">
        <v>9</v>
      </c>
      <c r="E13" s="67">
        <v>47036</v>
      </c>
      <c r="F13" s="67">
        <v>47051</v>
      </c>
      <c r="G13" s="68">
        <f t="shared" si="0"/>
        <v>16</v>
      </c>
      <c r="H13" s="57"/>
      <c r="I13" s="29" t="s">
        <v>14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115" ht="24.95" customHeight="1">
      <c r="A14" s="2"/>
      <c r="B14" s="27" t="s">
        <v>85</v>
      </c>
      <c r="C14" s="27" t="s">
        <v>86</v>
      </c>
      <c r="D14" s="27"/>
      <c r="E14" s="66">
        <v>47051</v>
      </c>
      <c r="F14" s="66">
        <v>47077</v>
      </c>
      <c r="G14" s="56">
        <f t="shared" si="0"/>
        <v>27</v>
      </c>
      <c r="H14" s="56"/>
      <c r="I14" s="2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115" ht="24.95" customHeight="1">
      <c r="A15" s="2"/>
      <c r="B15" s="3" t="s">
        <v>79</v>
      </c>
      <c r="C15" s="3" t="s">
        <v>84</v>
      </c>
      <c r="D15" s="30">
        <v>1</v>
      </c>
      <c r="E15" s="67">
        <v>47051</v>
      </c>
      <c r="F15" s="67">
        <v>47059</v>
      </c>
      <c r="G15" s="68">
        <f t="shared" si="0"/>
        <v>9</v>
      </c>
      <c r="H15" s="57"/>
      <c r="I15" s="29" t="s">
        <v>16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115" ht="24.95" customHeight="1">
      <c r="A16" s="2"/>
      <c r="B16" s="3" t="s">
        <v>81</v>
      </c>
      <c r="C16" s="3" t="s">
        <v>84</v>
      </c>
      <c r="D16" s="30">
        <v>5</v>
      </c>
      <c r="E16" s="67">
        <v>47059</v>
      </c>
      <c r="F16" s="67">
        <v>47072</v>
      </c>
      <c r="G16" s="68">
        <f t="shared" si="0"/>
        <v>14</v>
      </c>
      <c r="H16" s="57"/>
      <c r="I16" s="29" t="s">
        <v>14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4.95" customHeight="1">
      <c r="A17" s="2"/>
      <c r="B17" s="3" t="s">
        <v>83</v>
      </c>
      <c r="C17" s="3" t="s">
        <v>80</v>
      </c>
      <c r="D17" s="30">
        <v>6</v>
      </c>
      <c r="E17" s="67">
        <v>47072</v>
      </c>
      <c r="F17" s="67">
        <v>47077</v>
      </c>
      <c r="G17" s="68">
        <f t="shared" si="0"/>
        <v>6</v>
      </c>
      <c r="H17" s="57"/>
      <c r="I17" s="29" t="s">
        <v>17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4.95" customHeight="1">
      <c r="A18" s="2"/>
      <c r="B18" s="27" t="s">
        <v>87</v>
      </c>
      <c r="C18" s="27"/>
      <c r="D18" s="27"/>
      <c r="E18" s="66">
        <v>47077</v>
      </c>
      <c r="F18" s="66">
        <v>47097</v>
      </c>
      <c r="G18" s="56">
        <f t="shared" si="0"/>
        <v>21</v>
      </c>
      <c r="H18" s="56"/>
      <c r="I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4.95" customHeight="1">
      <c r="A19" s="2"/>
      <c r="B19" s="3" t="s">
        <v>79</v>
      </c>
      <c r="C19" s="3" t="s">
        <v>82</v>
      </c>
      <c r="D19" s="30">
        <v>3</v>
      </c>
      <c r="E19" s="67">
        <v>47077</v>
      </c>
      <c r="F19" s="67">
        <v>47087</v>
      </c>
      <c r="G19" s="68">
        <f t="shared" si="0"/>
        <v>11</v>
      </c>
      <c r="H19" s="57"/>
      <c r="I19" s="29" t="s">
        <v>12</v>
      </c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4.95" customHeight="1">
      <c r="A20" s="2"/>
      <c r="B20" s="3" t="s">
        <v>81</v>
      </c>
      <c r="C20" s="3" t="s">
        <v>88</v>
      </c>
      <c r="D20" s="30">
        <v>1</v>
      </c>
      <c r="E20" s="67">
        <v>47087</v>
      </c>
      <c r="F20" s="67">
        <v>47093</v>
      </c>
      <c r="G20" s="68">
        <f t="shared" si="0"/>
        <v>7</v>
      </c>
      <c r="H20" s="57"/>
      <c r="I20" s="29" t="s">
        <v>14</v>
      </c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4.95" customHeight="1">
      <c r="A21" s="2"/>
      <c r="B21" s="3" t="s">
        <v>83</v>
      </c>
      <c r="C21" s="3" t="s">
        <v>84</v>
      </c>
      <c r="D21" s="30">
        <v>4</v>
      </c>
      <c r="E21" s="67">
        <v>47093</v>
      </c>
      <c r="F21" s="67">
        <v>47097</v>
      </c>
      <c r="G21" s="68">
        <f t="shared" si="0"/>
        <v>5</v>
      </c>
      <c r="H21" s="57"/>
      <c r="I21" s="29" t="s">
        <v>12</v>
      </c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4.95" customHeight="1">
      <c r="A22" s="2"/>
      <c r="B22" s="27" t="s">
        <v>1</v>
      </c>
      <c r="C22" s="27"/>
      <c r="D22" s="27"/>
      <c r="E22" s="66">
        <v>47097</v>
      </c>
      <c r="F22" s="66">
        <v>47110</v>
      </c>
      <c r="G22" s="56">
        <f t="shared" si="0"/>
        <v>14</v>
      </c>
      <c r="H22" s="56"/>
      <c r="I22" s="27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4.95" customHeight="1">
      <c r="A23" s="2"/>
      <c r="B23" s="3" t="s">
        <v>79</v>
      </c>
      <c r="C23" s="3" t="s">
        <v>80</v>
      </c>
      <c r="D23" s="30">
        <v>6</v>
      </c>
      <c r="E23" s="67">
        <v>47097</v>
      </c>
      <c r="F23" s="67">
        <v>47099</v>
      </c>
      <c r="G23" s="68">
        <f t="shared" si="0"/>
        <v>3</v>
      </c>
      <c r="H23" s="57"/>
      <c r="I23" s="29" t="s">
        <v>17</v>
      </c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4.95" customHeight="1">
      <c r="A24" s="2"/>
      <c r="B24" s="3" t="s">
        <v>81</v>
      </c>
      <c r="C24" s="3" t="s">
        <v>88</v>
      </c>
      <c r="D24" s="30">
        <v>2</v>
      </c>
      <c r="E24" s="67">
        <v>47099</v>
      </c>
      <c r="F24" s="67">
        <v>47102</v>
      </c>
      <c r="G24" s="68">
        <f t="shared" si="0"/>
        <v>4</v>
      </c>
      <c r="H24" s="57"/>
      <c r="I24" s="29" t="s">
        <v>12</v>
      </c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4.95" customHeight="1">
      <c r="A25" s="2"/>
      <c r="B25" s="3" t="s">
        <v>83</v>
      </c>
      <c r="C25" s="3" t="s">
        <v>2</v>
      </c>
      <c r="D25" s="30">
        <v>8</v>
      </c>
      <c r="E25" s="67">
        <v>47102</v>
      </c>
      <c r="F25" s="67">
        <v>47110</v>
      </c>
      <c r="G25" s="68">
        <f t="shared" si="0"/>
        <v>9</v>
      </c>
      <c r="H25" s="57"/>
      <c r="I25" s="29" t="s">
        <v>12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9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9.1" customHeight="1">
      <c r="A27" s="2"/>
      <c r="B27" s="26" t="s">
        <v>37</v>
      </c>
      <c r="C27" s="2"/>
      <c r="D27" s="26"/>
      <c r="E27" s="72" t="s">
        <v>38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38.1" customHeight="1">
      <c r="A28" s="2"/>
      <c r="B28" s="2"/>
      <c r="C28" s="2"/>
      <c r="D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38.1" customHeight="1">
      <c r="A29" s="2"/>
      <c r="B29" s="2"/>
      <c r="C29" s="2"/>
      <c r="D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38.1" customHeight="1">
      <c r="A30" s="2"/>
      <c r="B30" s="2"/>
      <c r="C30" s="2"/>
      <c r="D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8.1" customHeight="1">
      <c r="A31" s="2"/>
      <c r="B31" s="2"/>
      <c r="C31" s="2"/>
      <c r="D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38.1" customHeight="1">
      <c r="A32" s="2"/>
      <c r="B32" s="2"/>
      <c r="C32" s="2"/>
      <c r="D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8.5">
      <c r="B34" s="26" t="s">
        <v>39</v>
      </c>
      <c r="C34" s="2"/>
      <c r="D34" s="2"/>
      <c r="E34" s="26"/>
      <c r="F34" s="26"/>
      <c r="G34" s="26"/>
    </row>
    <row r="35" spans="1:32" ht="21" customHeight="1">
      <c r="B35" s="45" t="s">
        <v>40</v>
      </c>
      <c r="C35" s="46"/>
      <c r="D35" s="47"/>
    </row>
    <row r="36" spans="1:32" ht="20.100000000000001" customHeight="1">
      <c r="B36" s="48"/>
      <c r="C36" s="49"/>
      <c r="D36" s="50"/>
    </row>
    <row r="37" spans="1:32" ht="20.100000000000001" customHeight="1">
      <c r="B37" s="48"/>
      <c r="C37" s="49"/>
      <c r="D37" s="50"/>
    </row>
    <row r="38" spans="1:32" ht="20.100000000000001" customHeight="1">
      <c r="B38" s="48"/>
      <c r="C38" s="49"/>
      <c r="D38" s="50"/>
    </row>
    <row r="39" spans="1:32" ht="20.100000000000001" customHeight="1">
      <c r="B39" s="48"/>
      <c r="C39" s="49"/>
      <c r="D39" s="50"/>
    </row>
    <row r="40" spans="1:32" ht="21" customHeight="1">
      <c r="B40" s="45" t="s">
        <v>41</v>
      </c>
      <c r="C40" s="46"/>
      <c r="D40" s="47"/>
    </row>
    <row r="41" spans="1:32" ht="20.100000000000001" customHeight="1">
      <c r="B41" s="48"/>
      <c r="C41" s="49"/>
      <c r="D41" s="50"/>
    </row>
    <row r="42" spans="1:32" ht="20.100000000000001" customHeight="1">
      <c r="B42" s="48"/>
      <c r="C42" s="49"/>
      <c r="D42" s="50"/>
    </row>
    <row r="43" spans="1:32" ht="20.100000000000001" customHeight="1">
      <c r="B43" s="48"/>
      <c r="C43" s="49"/>
      <c r="D43" s="50"/>
    </row>
    <row r="44" spans="1:32" ht="20.100000000000001" customHeight="1">
      <c r="B44" s="48"/>
      <c r="C44" s="49"/>
      <c r="D44" s="50"/>
    </row>
    <row r="45" spans="1:32" ht="20.100000000000001" customHeight="1"/>
    <row r="46" spans="1:32" ht="28.5">
      <c r="B46" s="26" t="s">
        <v>42</v>
      </c>
      <c r="C46" s="2"/>
      <c r="D46" s="2"/>
      <c r="E46" s="26"/>
    </row>
    <row r="47" spans="1:32" ht="21" customHeight="1" thickBot="1">
      <c r="B47" s="69" t="s">
        <v>43</v>
      </c>
      <c r="C47" s="44" t="s">
        <v>44</v>
      </c>
      <c r="D47" s="44" t="s">
        <v>45</v>
      </c>
      <c r="E47" s="69" t="s">
        <v>46</v>
      </c>
    </row>
    <row r="48" spans="1:32" ht="35.1" customHeight="1">
      <c r="B48" s="43" t="s">
        <v>47</v>
      </c>
      <c r="C48" s="70" t="s">
        <v>3</v>
      </c>
      <c r="D48" s="70" t="s">
        <v>3</v>
      </c>
      <c r="E48" s="43" t="s">
        <v>48</v>
      </c>
    </row>
    <row r="49" spans="2:29" ht="35.1" customHeight="1">
      <c r="B49" s="22" t="s">
        <v>49</v>
      </c>
      <c r="C49" s="71" t="s">
        <v>3</v>
      </c>
      <c r="D49" s="71" t="s">
        <v>3</v>
      </c>
      <c r="E49" s="43" t="s">
        <v>50</v>
      </c>
    </row>
    <row r="50" spans="2:29" ht="35.1" customHeight="1">
      <c r="B50" s="22" t="s">
        <v>51</v>
      </c>
      <c r="C50" s="71" t="s">
        <v>4</v>
      </c>
      <c r="D50" s="71" t="s">
        <v>4</v>
      </c>
      <c r="E50" s="43" t="s">
        <v>52</v>
      </c>
    </row>
    <row r="51" spans="2:29" ht="35.1" customHeight="1">
      <c r="B51" s="22" t="s">
        <v>53</v>
      </c>
      <c r="C51" s="71" t="s">
        <v>5</v>
      </c>
      <c r="D51" s="71" t="s">
        <v>5</v>
      </c>
      <c r="E51" s="43" t="s">
        <v>54</v>
      </c>
    </row>
    <row r="52" spans="2:29" ht="20.100000000000001" customHeight="1"/>
    <row r="53" spans="2:29" ht="20.100000000000001" customHeight="1">
      <c r="B53" s="28" t="s">
        <v>55</v>
      </c>
      <c r="C53" s="91" t="s">
        <v>56</v>
      </c>
      <c r="D53" s="91"/>
      <c r="L53" s="28" t="s">
        <v>57</v>
      </c>
    </row>
    <row r="54" spans="2:29" ht="20.100000000000001" customHeight="1">
      <c r="B54" s="22" t="s">
        <v>12</v>
      </c>
      <c r="C54" s="35">
        <f>COUNTIF(I10:I25, "NOT STARTED")</f>
        <v>4</v>
      </c>
      <c r="D54" s="36">
        <f>C54/$C$58</f>
        <v>0.33333333333333331</v>
      </c>
      <c r="L54" s="52" t="s">
        <v>58</v>
      </c>
      <c r="M54" s="52" t="s">
        <v>59</v>
      </c>
      <c r="N54" s="52" t="s">
        <v>60</v>
      </c>
      <c r="O54" s="52" t="s">
        <v>61</v>
      </c>
      <c r="P54" s="52" t="s">
        <v>62</v>
      </c>
      <c r="Q54" s="52" t="s">
        <v>63</v>
      </c>
      <c r="R54" s="52" t="s">
        <v>64</v>
      </c>
      <c r="S54" s="52" t="s">
        <v>65</v>
      </c>
      <c r="T54" s="52" t="s">
        <v>66</v>
      </c>
      <c r="U54" s="52" t="s">
        <v>67</v>
      </c>
      <c r="V54" s="52" t="s">
        <v>68</v>
      </c>
      <c r="W54" s="52" t="s">
        <v>69</v>
      </c>
      <c r="X54" s="52" t="s">
        <v>70</v>
      </c>
      <c r="Y54" s="52" t="s">
        <v>71</v>
      </c>
      <c r="Z54" s="52" t="s">
        <v>72</v>
      </c>
      <c r="AA54" s="52" t="s">
        <v>73</v>
      </c>
      <c r="AB54" s="52" t="s">
        <v>74</v>
      </c>
      <c r="AC54" s="52" t="s">
        <v>0</v>
      </c>
    </row>
    <row r="55" spans="2:29" ht="20.100000000000001" customHeight="1">
      <c r="B55" s="19" t="s">
        <v>14</v>
      </c>
      <c r="C55" s="35">
        <f>COUNTIF(I10:I25, "ON TRACK")</f>
        <v>4</v>
      </c>
      <c r="D55" s="36">
        <f>C55/$C$58</f>
        <v>0.33333333333333331</v>
      </c>
      <c r="K55" s="74" t="s">
        <v>32</v>
      </c>
      <c r="L55" s="68">
        <f>SUMIFS(D10:D25,E10:E25,"&gt;="&amp;D3,E10:E25,"&lt;="&amp;D3+7)</f>
        <v>18</v>
      </c>
      <c r="M55" s="68">
        <f>SUMIFS(D10:D25,E10:E25,"&gt;="&amp;D3+8,E10:E25,"&lt;="&amp;D3+14)</f>
        <v>0</v>
      </c>
      <c r="N55" s="68">
        <f>SUMIFS(D10:D25,E10:E25,"&gt;="&amp;D3+15,E10:E25,"&lt;="&amp;D3+21)</f>
        <v>1</v>
      </c>
      <c r="O55" s="68">
        <f>SUMIFS(D10:D25,E10:E25,"&gt;="&amp;D3+22,E10:E25,"&lt;="&amp;D3+28)</f>
        <v>5</v>
      </c>
      <c r="P55" s="68">
        <f>SUMIFS(D10:D25,E10:E25,"&gt;="&amp;D3+29,E10:E25,"&lt;="&amp;D3+35)</f>
        <v>0</v>
      </c>
      <c r="Q55" s="68">
        <f>SUMIFS(D10:D25,E10:E25,"&gt;="&amp;D3+36,E10:E25,"&lt;="&amp;D3+42)</f>
        <v>6</v>
      </c>
      <c r="R55" s="68">
        <f>SUMIFS(D10:D25,E10:E25,"&gt;="&amp;D3+43,E10:E25,"&lt;="&amp;D3+49)</f>
        <v>3</v>
      </c>
      <c r="S55" s="68">
        <f>SUMIFS(D10:D25,E10:E25,"&gt;="&amp;D3+50,E10:E25,"&lt;="&amp;D3+56)</f>
        <v>1</v>
      </c>
      <c r="T55" s="68">
        <f>SUMIFS(D10:D25,E10:E25,"&gt;="&amp;D3+57,E10:E25,"&lt;="&amp;D3+63)</f>
        <v>4</v>
      </c>
      <c r="U55" s="68">
        <f>SUMIFS(D10:D25,E10:E25,"&gt;="&amp;D3+64,E10:E25,"&lt;="&amp;D3+70)</f>
        <v>16</v>
      </c>
      <c r="V55" s="68">
        <f>SUMIFS(D10:D25,E10:E25,"&gt;="&amp;D3+71,E10:E25,"&lt;="&amp;D3+77)</f>
        <v>0</v>
      </c>
      <c r="W55" s="68">
        <f>SUMIFS(D10:D25,E10:E25,"&gt;="&amp;D3+78,E10:E25,"&lt;="&amp;D3+84)</f>
        <v>0</v>
      </c>
      <c r="X55" s="68">
        <f>SUMIFS(D10:D25,E10:E25,"&gt;="&amp;D3+85,E10:E25,"&lt;="&amp;D3+91)</f>
        <v>0</v>
      </c>
      <c r="Y55" s="68">
        <f>SUMIFS(D10:D25,E10:E25,"&gt;="&amp;D3+92,E10:E25,"&lt;="&amp;D3+98)</f>
        <v>0</v>
      </c>
      <c r="Z55" s="68">
        <f>SUMIFS(D10:D25,E10:E25,"&gt;="&amp;D3+99,E10:E25,"&lt;="&amp;D3+105)</f>
        <v>0</v>
      </c>
      <c r="AA55" s="68">
        <f>SUMIFS(D10:D25,E10:E25,"&gt;="&amp;D3+106,E10:E25,"&lt;="&amp;D3+112)</f>
        <v>0</v>
      </c>
      <c r="AB55" s="68">
        <f>SUMIFS(D10:D25,E10:E25,"&gt;="&amp;D3+113,E10:E25,"&lt;="&amp;D3+119)</f>
        <v>0</v>
      </c>
      <c r="AC55" s="52">
        <f>SUM(L55:AB55)</f>
        <v>54</v>
      </c>
    </row>
    <row r="56" spans="2:29" ht="20.100000000000001" customHeight="1">
      <c r="B56" s="19" t="s">
        <v>16</v>
      </c>
      <c r="C56" s="35">
        <f>COUNTIF(I10:I25, "COMPLETE")</f>
        <v>2</v>
      </c>
      <c r="D56" s="36">
        <f>C56/$C$58</f>
        <v>0.16666666666666666</v>
      </c>
      <c r="K56" s="74" t="s">
        <v>16</v>
      </c>
      <c r="L56" s="80">
        <f>SUMIFS(D10:D25,E10:E25,"&gt;="&amp;D3,E10:E25,"&lt;="&amp;D3+7,I10:I25,"COMPLETE")</f>
        <v>3</v>
      </c>
      <c r="M56" s="80">
        <f>SUMIFS(D10:D25,E10:E25,"&gt;="&amp;D3+8,E10:E25,"&lt;="&amp;D3+14,I10:I25,"COMPLETE")</f>
        <v>0</v>
      </c>
      <c r="N56" s="80">
        <f>SUMIFS(D10:D25,E10:E25,"&gt;="&amp;D3+15,E10:E25,"&lt;="&amp;D3+21,I10:I25,"COMPLETE")</f>
        <v>1</v>
      </c>
      <c r="O56" s="80">
        <f>SUMIFS(D10:D25,E10:E25,"&gt;="&amp;D3+22,E10:E25,"&lt;="&amp;D3+28,I10:I25,"COMPLETE")</f>
        <v>0</v>
      </c>
      <c r="P56" s="80">
        <f>SUMIFS(D10:D25,E10:E25,"&gt;="&amp;D3+29,E10:E25,"&lt;="&amp;D3+35,I10:I25,"COMPLETE")</f>
        <v>0</v>
      </c>
      <c r="Q56" s="80">
        <f>SUMIFS(D10:D25,E10:E25,"&gt;="&amp;D3+36,E10:E25,"&lt;="&amp;D3+42,I10:I25,"COMPLETE")</f>
        <v>0</v>
      </c>
      <c r="R56" s="80">
        <f>SUMIFS(D10:D25,E10:E25,"&gt;="&amp;D3+43,E10:E25,"&lt;="&amp;D3+49,I10:I25,"COMPLETE")</f>
        <v>0</v>
      </c>
      <c r="S56" s="80">
        <f>SUMIFS(D10:D25,E10:E25,"&gt;="&amp;D3+50,E10:E25,"&lt;="&amp;D3+56,I10:I25,"COMPLETE")</f>
        <v>0</v>
      </c>
      <c r="T56" s="80">
        <f>SUMIFS(D10:D25,E10:E25,"&gt;="&amp;D3+57,E10:E25,"&lt;="&amp;D3+63,I10:I25,"COMPLETE")</f>
        <v>0</v>
      </c>
      <c r="U56" s="80">
        <f>SUMIFS(D10:D25,E10:E25,"&gt;="&amp;D3+64,E10:E25,"&lt;="&amp;D3+70,I10:I25,"COMPLETE")</f>
        <v>0</v>
      </c>
      <c r="V56" s="80">
        <f>SUMIFS(D10:D25,E10:E25,"&gt;="&amp;D3+71,E10:E25,"&lt;="&amp;D3+77,I10:I25,"COMPLETE")</f>
        <v>0</v>
      </c>
      <c r="W56" s="80">
        <f>SUMIFS(D10:D25,E10:E25,"&gt;="&amp;D3+78,E10:E25,"&lt;="&amp;D3+84,I10:I25,"COMPLETE")</f>
        <v>0</v>
      </c>
      <c r="X56" s="80">
        <f>SUMIFS(D10:D25,E10:E25,"&gt;="&amp;D3+85,E10:E25,"&lt;="&amp;D3+91,I10:I25,"COMPLETE")</f>
        <v>0</v>
      </c>
      <c r="Y56" s="80">
        <f>SUMIFS(D10:D25,E10:E25,"&gt;="&amp;D3+92,E10:E25,"&lt;="&amp;D3+98,I10:I25,"COMPLETE")</f>
        <v>0</v>
      </c>
      <c r="Z56" s="80">
        <f>SUMIFS(D10:D25,E10:E25,"&gt;="&amp;D3+99,E10:E25,"&lt;="&amp;D3+105,I10:I25,"COMPLETE")</f>
        <v>0</v>
      </c>
      <c r="AA56" s="80">
        <f>SUMIFS(D10:D25,E10:E25,"&gt;="&amp;D3+106,E10:E25,"&lt;="&amp;D3+112,I10:I25,"COMPLETE")</f>
        <v>0</v>
      </c>
      <c r="AB56" s="80">
        <f>SUMIFS(D10:D25,E10:E25,"&gt;="&amp;D3+113,E10:E25,"&lt;="&amp;D3+119,I10:I25,"COMPLETE")</f>
        <v>0</v>
      </c>
      <c r="AC56" s="52">
        <f>SUM(L56:AB56)</f>
        <v>4</v>
      </c>
    </row>
    <row r="57" spans="2:29" ht="20.100000000000001" customHeight="1">
      <c r="B57" s="18" t="s">
        <v>17</v>
      </c>
      <c r="C57" s="35">
        <f>COUNTIF(I10:I25, "DELAYED")</f>
        <v>2</v>
      </c>
      <c r="D57" s="36">
        <f>C57/$C$58</f>
        <v>0.16666666666666666</v>
      </c>
      <c r="K57" s="74" t="s">
        <v>17</v>
      </c>
      <c r="L57" s="81">
        <f>SUMIFS(D10:D25,E10:E25,"&gt;="&amp;D3,E10:E25,"&lt;="&amp;D3+7,I10:I25,"DELAYED")</f>
        <v>0</v>
      </c>
      <c r="M57" s="81">
        <f>SUMIFS(D10:D25,E10:E25,"&gt;="&amp;D3+8,E10:E25,"&lt;="&amp;D3+14,I10:I25,"DELAYED")</f>
        <v>0</v>
      </c>
      <c r="N57" s="81">
        <f>SUMIFS(D10:D25,E10:E25,"&gt;="&amp;D3+15,E10:E25,"&lt;="&amp;D3+21,I10:I25,"DELAYED")</f>
        <v>0</v>
      </c>
      <c r="O57" s="81">
        <f>SUMIFS(D10:D25,E10:E25,"&gt;="&amp;D3+22,E10:E25,"&lt;="&amp;D3+28,I10:I25,"DELAYED")</f>
        <v>0</v>
      </c>
      <c r="P57" s="81">
        <f>SUMIFS(D10:D25,E10:E25,"&gt;="&amp;D3+29,E10:E25,"&lt;="&amp;D3+35,I10:I25,"DELAYED")</f>
        <v>0</v>
      </c>
      <c r="Q57" s="81">
        <f>SUMIFS(D10:D25,E10:E25,"&gt;="&amp;D3+36,E10:E25,"&lt;="&amp;D3+42,I10:I25,"DELAYED")</f>
        <v>6</v>
      </c>
      <c r="R57" s="81">
        <f>SUMIFS(D10:D25,E10:E25,"&gt;="&amp;D3+43,E10:E25,"&lt;="&amp;D3+49,I10:I25,"DELAYED")</f>
        <v>0</v>
      </c>
      <c r="S57" s="81">
        <f>SUMIFS(D10:D25,E10:E25,"&gt;="&amp;D3+50,E10:E25,"&lt;="&amp;D3+56,I10:I25,"DELAYED")</f>
        <v>0</v>
      </c>
      <c r="T57" s="81">
        <f>SUMIFS(D10:D25,E10:E25,"&gt;="&amp;D3+57,E10:E25,"&lt;="&amp;D3+63,I10:I25,"DELAYED")</f>
        <v>0</v>
      </c>
      <c r="U57" s="81">
        <f>SUMIFS(D10:D25,E10:E25,"&gt;="&amp;D3+64,E10:E25,"&lt;="&amp;D3+70,I10:I25,"DELAYED")</f>
        <v>6</v>
      </c>
      <c r="V57" s="81">
        <f>SUMIFS(D10:D25,E10:E25,"&gt;="&amp;D3+71,E10:E25,"&lt;="&amp;D3+77,I10:I25,"DELAYED")</f>
        <v>0</v>
      </c>
      <c r="W57" s="81">
        <f>SUMIFS(D10:D25,E10:E25,"&gt;="&amp;D3+78,E10:E25,"&lt;="&amp;D3+84,I10:I25,"DELAYED")</f>
        <v>0</v>
      </c>
      <c r="X57" s="81">
        <f>SUMIFS(D10:D25,E10:E25,"&gt;="&amp;D3+85,E10:E25,"&lt;="&amp;D3+91,I10:I25,"DELAYED")</f>
        <v>0</v>
      </c>
      <c r="Y57" s="81">
        <f>SUMIFS(D10:D25,E10:E25,"&gt;="&amp;D3+92,E10:E25,"&lt;="&amp;D3+98,I10:I25,"DELAYED")</f>
        <v>0</v>
      </c>
      <c r="Z57" s="81">
        <f>SUMIFS(D10:D25,E10:E25,"&gt;="&amp;D3+99,E10:E25,"&lt;="&amp;D3+105,I10:I25,"DELAYED")</f>
        <v>0</v>
      </c>
      <c r="AA57" s="81">
        <f>SUMIFS(D10:D25,E10:E25,"&gt;="&amp;D3+106,E10:E25,"&lt;="&amp;D3+112,I10:I25,"DELAYED")</f>
        <v>0</v>
      </c>
      <c r="AB57" s="81">
        <f>SUMIFS(D10:D25,E10:E25,"&gt;="&amp;D3+113,E10:E25,"&lt;="&amp;D3+119,I10:I25,"DELAYED")</f>
        <v>0</v>
      </c>
      <c r="AC57" s="52">
        <f t="shared" ref="AC57:AC60" si="1">SUM(L57:AB57)</f>
        <v>12</v>
      </c>
    </row>
    <row r="58" spans="2:29" ht="20.100000000000001" customHeight="1">
      <c r="B58" s="32" t="s">
        <v>0</v>
      </c>
      <c r="C58" s="33">
        <f>SUM(C54:C57)</f>
        <v>12</v>
      </c>
      <c r="D58" s="34">
        <f>SUM(D54:D57)</f>
        <v>0.99999999999999989</v>
      </c>
      <c r="K58" s="74" t="s">
        <v>12</v>
      </c>
      <c r="L58" s="76">
        <f>SUMIFS(D10:D25,E10:E25,"&gt;="&amp;D3,E10:E25,"&lt;="&amp;D3+7,I10:I25,"NOT STARTED")</f>
        <v>0</v>
      </c>
      <c r="M58" s="76">
        <f>SUMIFS(D10:D25,E10:E25,"&gt;="&amp;D3+8,E10:E25,"&lt;="&amp;D3+14,I10:I25,"NOT STARTED")</f>
        <v>0</v>
      </c>
      <c r="N58" s="76">
        <f>SUMIFS(D10:D25,E10:E25,"&gt;="&amp;D3+15,E10:E25,"&lt;="&amp;D3+21,I10:I25,"NOT STARTED")</f>
        <v>0</v>
      </c>
      <c r="O58" s="76">
        <f>SUMIFS(D10:D25,E10:E25,"&gt;="&amp;D3+22,E10:E25,"&lt;="&amp;D3+28,I10:I25,"NOT STARTED")</f>
        <v>0</v>
      </c>
      <c r="P58" s="76">
        <f>SUMIFS(D10:D25,E10:E25,"&gt;="&amp;D3+29,E10:E25,"&lt;="&amp;D3+35,I10:I25,"NOT STARTED")</f>
        <v>0</v>
      </c>
      <c r="Q58" s="76">
        <f>SUMIFS(D10:D25,E10:E25,"&gt;="&amp;D3+36,E10:E25,"&lt;="&amp;D3+42,I10:I25,"NOT STARTED")</f>
        <v>0</v>
      </c>
      <c r="R58" s="76">
        <f>SUMIFS(D10:D25,E10:E25,"&gt;="&amp;D3+43,E10:E25,"&lt;="&amp;D3+49,I10:I25,"NOT STARTED")</f>
        <v>3</v>
      </c>
      <c r="S58" s="76">
        <f>SUMIFS(D10:D25,E10:E25,"&gt;="&amp;D3+50,E10:E25,"&lt;="&amp;D3+56,I10:I25,"NOT STARTED")</f>
        <v>0</v>
      </c>
      <c r="T58" s="76">
        <f>SUMIFS(D10:D25,E10:E25,"&gt;="&amp;D3+57,E10:E25,"&lt;="&amp;D3+63,I10:I25,"NOT STARTED")</f>
        <v>4</v>
      </c>
      <c r="U58" s="76">
        <f>SUMIFS(D10:D25,E10:E25,"&gt;="&amp;D3+64,E10:E25,"&lt;="&amp;D3+70,I10:I25,"NOT STARTED")</f>
        <v>10</v>
      </c>
      <c r="V58" s="76">
        <f>SUMIFS(D10:D25,E10:E25,"&gt;="&amp;D3+71,E10:E25,"&lt;="&amp;D3+77,I10:I25,"NOT STARTED")</f>
        <v>0</v>
      </c>
      <c r="W58" s="76">
        <f>SUMIFS(D10:D25,E10:E25,"&gt;="&amp;D3+78,E10:E25,"&lt;="&amp;D3+84,I10:I25,"NOT STARTED")</f>
        <v>0</v>
      </c>
      <c r="X58" s="76">
        <f>SUMIFS(D10:D25,E10:E25,"&gt;="&amp;D3+85,E10:E25,"&lt;="&amp;D3+91,I10:I25,"NOT STARTED")</f>
        <v>0</v>
      </c>
      <c r="Y58" s="76">
        <f>SUMIFS(D10:D25,E10:E25,"&gt;="&amp;D3+92,E10:E25,"&lt;="&amp;D3+98,I10:I25,"NOT STARTED")</f>
        <v>0</v>
      </c>
      <c r="Z58" s="76">
        <f>SUMIFS(D10:D25,E10:E25,"&gt;="&amp;D3+99,E10:E25,"&lt;="&amp;D3+105,I10:I25,"NOT STARTED")</f>
        <v>0</v>
      </c>
      <c r="AA58" s="76">
        <f>SUMIFS(D10:D25,E10:E25,"&gt;="&amp;D3+106,E10:E25,"&lt;="&amp;D3+112,I10:I25,"NOT STARTED")</f>
        <v>0</v>
      </c>
      <c r="AB58" s="76">
        <f>SUMIFS(D10:D25,E10:E25,"&gt;="&amp;D3+113,E10:E25,"&lt;="&amp;D3+119,I10:I25,"NOT STARTED")</f>
        <v>0</v>
      </c>
      <c r="AC58" s="52">
        <f t="shared" si="1"/>
        <v>17</v>
      </c>
    </row>
    <row r="59" spans="2:29" ht="20.100000000000001" customHeight="1">
      <c r="K59" s="74" t="s">
        <v>14</v>
      </c>
      <c r="L59" s="75">
        <f>SUMIFS(D10:D25,E10:E25,"&gt;="&amp;D3,E10:E25,"&lt;="&amp;D3+7,I10:I25,"ON TRACK")</f>
        <v>15</v>
      </c>
      <c r="M59" s="75">
        <f>SUMIFS(D10:D25,E10:E25,"&gt;="&amp;D3+8,E10:E25,"&lt;="&amp;D3+14,I10:I25,"ON TRACK")</f>
        <v>0</v>
      </c>
      <c r="N59" s="75">
        <f>SUMIFS(D10:D25,E10:E25,"&gt;="&amp;D3+15,E10:E25,"&lt;="&amp;D3+21,I10:I25,"ON TRACK")</f>
        <v>0</v>
      </c>
      <c r="O59" s="75">
        <f>SUMIFS(D10:D25,E10:E25,"&gt;="&amp;D3+22,E10:E25,"&lt;="&amp;D3+28,I10:I25,"ON TRACK")</f>
        <v>5</v>
      </c>
      <c r="P59" s="75">
        <f>SUMIFS(D10:D25,E10:E25,"&gt;="&amp;D3+29,E10:E25,"&lt;="&amp;D3+35,I10:I25,"ON TRACK")</f>
        <v>0</v>
      </c>
      <c r="Q59" s="75">
        <f>SUMIFS(D10:D25,E10:E25,"&gt;="&amp;D3+36,E10:E25,"&lt;="&amp;D3+42,I10:I25,"ON TRACK")</f>
        <v>0</v>
      </c>
      <c r="R59" s="75">
        <f>SUMIFS(D10:D25,E10:E25,"&gt;="&amp;D3+43,E10:E25,"&lt;="&amp;D3+49,I10:I25,"ON TRACK")</f>
        <v>0</v>
      </c>
      <c r="S59" s="75">
        <f>SUMIFS(D10:D25,E10:E25,"&gt;="&amp;D3+50,E10:E25,"&lt;="&amp;D3+56,I10:I25,"ON TRACK")</f>
        <v>1</v>
      </c>
      <c r="T59" s="75">
        <f>SUMIFS(D10:D25,E10:E25,"&gt;="&amp;D3+57,E10:E25,"&lt;="&amp;D3+63,I10:I25,"ON TRACK")</f>
        <v>0</v>
      </c>
      <c r="U59" s="75">
        <f>SUMIFS(D10:D25,E10:E25,"&gt;="&amp;D3+64,E10:E25,"&lt;="&amp;D3+70,I10:I25,"ON TRACK")</f>
        <v>0</v>
      </c>
      <c r="V59" s="75">
        <f>SUMIFS(D10:D25,E10:E25,"&gt;="&amp;D3+71,E10:E25,"&lt;="&amp;D3+77,I10:I25,"ON TRACK")</f>
        <v>0</v>
      </c>
      <c r="W59" s="75">
        <f>SUMIFS(D10:D25,E10:E25,"&gt;="&amp;D3+78,E10:E25,"&lt;="&amp;D3+84,I10:I25,"ON TRACK")</f>
        <v>0</v>
      </c>
      <c r="X59" s="75">
        <f>SUMIFS(D10:D25,E10:E25,"&gt;="&amp;D3+85,E10:E25,"&lt;="&amp;D3+91,I10:I25,"ON TRACK")</f>
        <v>0</v>
      </c>
      <c r="Y59" s="75">
        <f>SUMIFS(D10:D25,E10:E25,"&gt;="&amp;D3+92,E10:E25,"&lt;="&amp;D3+98,I10:I25,"ON TRACK")</f>
        <v>0</v>
      </c>
      <c r="Z59" s="75">
        <f>SUMIFS(D10:D25,E10:E25,"&gt;="&amp;D3+99,E10:E25,"&lt;="&amp;D3+105,I10:I25,"ON TRACK")</f>
        <v>0</v>
      </c>
      <c r="AA59" s="75">
        <f>SUMIFS(D10:D25,E10:E25,"&gt;="&amp;D3+106,E10:E25,"&lt;="&amp;D3+112,I10:I25,"ON TRACK")</f>
        <v>0</v>
      </c>
      <c r="AB59" s="75">
        <f>SUMIFS(D10:D25,E10:E25,"&gt;="&amp;D3+113,E10:E25,"&lt;="&amp;D3+119,I10:I25,"ON TRACK")</f>
        <v>0</v>
      </c>
      <c r="AC59" s="52">
        <f t="shared" si="1"/>
        <v>21</v>
      </c>
    </row>
    <row r="60" spans="2:29" ht="20.100000000000001" customHeight="1">
      <c r="B60" s="87" t="s">
        <v>77</v>
      </c>
      <c r="C60" s="93"/>
      <c r="D60" s="93"/>
      <c r="E60" s="93"/>
      <c r="F60" s="93"/>
      <c r="G60" s="93"/>
      <c r="H60" s="93"/>
      <c r="I60" s="93"/>
      <c r="K60" s="74" t="s">
        <v>75</v>
      </c>
      <c r="L60" s="79">
        <f>SUM(L57:L59)</f>
        <v>15</v>
      </c>
      <c r="M60" s="79">
        <f t="shared" ref="M60:AB60" si="2">SUM(M57:M59)</f>
        <v>0</v>
      </c>
      <c r="N60" s="79">
        <f t="shared" si="2"/>
        <v>0</v>
      </c>
      <c r="O60" s="79">
        <f t="shared" si="2"/>
        <v>5</v>
      </c>
      <c r="P60" s="79">
        <f t="shared" si="2"/>
        <v>0</v>
      </c>
      <c r="Q60" s="79">
        <f t="shared" si="2"/>
        <v>6</v>
      </c>
      <c r="R60" s="79">
        <f t="shared" si="2"/>
        <v>3</v>
      </c>
      <c r="S60" s="79">
        <f t="shared" si="2"/>
        <v>1</v>
      </c>
      <c r="T60" s="79">
        <f t="shared" si="2"/>
        <v>4</v>
      </c>
      <c r="U60" s="79">
        <f t="shared" si="2"/>
        <v>16</v>
      </c>
      <c r="V60" s="79">
        <f t="shared" si="2"/>
        <v>0</v>
      </c>
      <c r="W60" s="79">
        <f t="shared" si="2"/>
        <v>0</v>
      </c>
      <c r="X60" s="79">
        <f t="shared" si="2"/>
        <v>0</v>
      </c>
      <c r="Y60" s="79">
        <f t="shared" si="2"/>
        <v>0</v>
      </c>
      <c r="Z60" s="79">
        <f t="shared" si="2"/>
        <v>0</v>
      </c>
      <c r="AA60" s="79">
        <f t="shared" si="2"/>
        <v>0</v>
      </c>
      <c r="AB60" s="79">
        <f t="shared" si="2"/>
        <v>0</v>
      </c>
      <c r="AC60" s="52">
        <f t="shared" si="1"/>
        <v>50</v>
      </c>
    </row>
    <row r="61" spans="2:29" ht="20.100000000000001" customHeight="1">
      <c r="B61" s="93"/>
      <c r="C61" s="93"/>
      <c r="D61" s="93"/>
      <c r="E61" s="93"/>
      <c r="F61" s="93"/>
      <c r="G61" s="93"/>
      <c r="H61" s="93"/>
      <c r="I61" s="93"/>
      <c r="K61" s="1" t="s">
        <v>76</v>
      </c>
      <c r="L61" s="82">
        <f>AC55</f>
        <v>54</v>
      </c>
      <c r="M61" s="82">
        <f>($L$61-$L$61/$H$7)</f>
        <v>49.5</v>
      </c>
      <c r="N61" s="82">
        <f>IF(M61-$M$62&gt;0,M61-$M$62,"0")</f>
        <v>45</v>
      </c>
      <c r="O61" s="82">
        <f t="shared" ref="O61:AB61" si="3">IF(N61-$M$62&gt;0,N61-$M$62,"0")</f>
        <v>40.5</v>
      </c>
      <c r="P61" s="82">
        <f t="shared" si="3"/>
        <v>36</v>
      </c>
      <c r="Q61" s="82">
        <f t="shared" si="3"/>
        <v>31.5</v>
      </c>
      <c r="R61" s="82">
        <f t="shared" si="3"/>
        <v>27</v>
      </c>
      <c r="S61" s="82">
        <f t="shared" si="3"/>
        <v>22.5</v>
      </c>
      <c r="T61" s="82">
        <f t="shared" si="3"/>
        <v>18</v>
      </c>
      <c r="U61" s="82">
        <f t="shared" si="3"/>
        <v>13.5</v>
      </c>
      <c r="V61" s="82">
        <f t="shared" si="3"/>
        <v>9</v>
      </c>
      <c r="W61" s="82">
        <f t="shared" si="3"/>
        <v>4.5</v>
      </c>
      <c r="X61" s="82" t="str">
        <f t="shared" si="3"/>
        <v>0</v>
      </c>
      <c r="Y61" s="82" t="str">
        <f t="shared" si="3"/>
        <v>0</v>
      </c>
      <c r="Z61" s="82" t="str">
        <f t="shared" si="3"/>
        <v>0</v>
      </c>
      <c r="AA61" s="82" t="str">
        <f t="shared" si="3"/>
        <v>0</v>
      </c>
      <c r="AB61" s="82" t="str">
        <f t="shared" si="3"/>
        <v>0</v>
      </c>
    </row>
    <row r="62" spans="2:29" ht="20.100000000000001" customHeight="1">
      <c r="B62" s="93"/>
      <c r="C62" s="93"/>
      <c r="D62" s="93"/>
      <c r="E62" s="93"/>
      <c r="F62" s="93"/>
      <c r="G62" s="93"/>
      <c r="H62" s="93"/>
      <c r="I62" s="93"/>
      <c r="L62" s="84"/>
      <c r="M62" s="83">
        <f>L61-M61</f>
        <v>4.5</v>
      </c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2:29" ht="20.100000000000001" customHeight="1"/>
    <row r="64" spans="2:29" customFormat="1" ht="50.1" customHeight="1">
      <c r="B64" s="1"/>
      <c r="C64" s="1"/>
      <c r="D64" s="1"/>
    </row>
    <row r="65" ht="20.100000000000001" customHeight="1"/>
    <row r="67" ht="20.100000000000001" customHeight="1"/>
    <row r="68" ht="20.100000000000001" customHeight="1"/>
    <row r="151" spans="2:10" ht="28.5">
      <c r="B151" s="51" t="s">
        <v>77</v>
      </c>
      <c r="C151" s="51"/>
      <c r="D151" s="51"/>
    </row>
    <row r="157" spans="2:10" customFormat="1" ht="50.1" customHeight="1">
      <c r="B157" s="1"/>
      <c r="C157" s="1"/>
      <c r="D157" s="1"/>
      <c r="E157" s="51"/>
      <c r="F157" s="51"/>
      <c r="G157" s="51"/>
      <c r="H157" s="51"/>
      <c r="I157" s="51"/>
      <c r="J157" s="51"/>
    </row>
  </sheetData>
  <mergeCells count="7">
    <mergeCell ref="H5:H6"/>
    <mergeCell ref="B60:I62"/>
    <mergeCell ref="B2:C2"/>
    <mergeCell ref="B3:C3"/>
    <mergeCell ref="C53:D53"/>
    <mergeCell ref="D5:F5"/>
    <mergeCell ref="G5:G6"/>
  </mergeCells>
  <phoneticPr fontId="25" type="noConversion"/>
  <conditionalFormatting sqref="D11:D13 D15:D17 D19:D21 D23:D25">
    <cfRule type="containsText" dxfId="20" priority="13" operator="containsText" text="Baja">
      <formula>NOT(ISERROR(SEARCH("Baja",D11)))</formula>
    </cfRule>
    <cfRule type="containsText" dxfId="19" priority="14" operator="containsText" text="Media">
      <formula>NOT(ISERROR(SEARCH("Media",D11)))</formula>
    </cfRule>
    <cfRule type="containsText" dxfId="18" priority="15" operator="containsText" text="Alta">
      <formula>NOT(ISERROR(SEARCH("Alta",D11)))</formula>
    </cfRule>
  </conditionalFormatting>
  <conditionalFormatting sqref="I11:I13 I15:I17 I19:I21 I23:I25 B54:B57">
    <cfRule type="containsText" dxfId="17" priority="9" operator="containsText" text="NO SE HA INICIADO">
      <formula>NOT(ISERROR(SEARCH("NO SE HA INICIADO",B11)))</formula>
    </cfRule>
    <cfRule type="containsText" dxfId="16" priority="10" operator="containsText" text="DEMORADO">
      <formula>NOT(ISERROR(SEARCH("DEMORADO",B11)))</formula>
    </cfRule>
    <cfRule type="containsText" dxfId="15" priority="11" operator="containsText" text="COMPLETO">
      <formula>NOT(ISERROR(SEARCH("COMPLETO",B11)))</formula>
    </cfRule>
    <cfRule type="containsText" dxfId="14" priority="12" operator="containsText" text="EN CURSO">
      <formula>NOT(ISERROR(SEARCH("EN CURSO",B11)))</formula>
    </cfRule>
  </conditionalFormatting>
  <hyperlinks>
    <hyperlink ref="B157:J157" r:id="rId1" display="CLICK HERE TO CREATE IN SMARTSHEET" xr:uid="{00000000-0004-0000-0000-000000000000}"/>
    <hyperlink ref="B60:D60" r:id="rId2" display="CLICK HERE TO CREATE IN SMARTSHEET" xr:uid="{00000000-0004-0000-0000-000001000000}"/>
    <hyperlink ref="B60:I62" r:id="rId3" display="HAGA CLIC AQUÍ PARA CREAR EN SMARTSHEET" xr:uid="{00000000-0004-0000-0000-000002000000}"/>
  </hyperlinks>
  <pageMargins left="0.4" right="0.4" top="0.4" bottom="0.4" header="0" footer="0"/>
  <pageSetup scale="70" fitToHeight="0" orientation="landscape" horizontalDpi="4294967292" verticalDpi="4294967292"/>
  <rowBreaks count="1" manualBreakCount="1">
    <brk id="26" max="16383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'Teclas desplegables'!$D$4:$D$7</xm:f>
          </x14:formula1>
          <xm:sqref>I10:I25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K157"/>
  <sheetViews>
    <sheetView showGridLines="0" workbookViewId="0">
      <selection activeCell="E14" sqref="E14"/>
    </sheetView>
  </sheetViews>
  <sheetFormatPr defaultColWidth="11" defaultRowHeight="13.5"/>
  <cols>
    <col min="1" max="1" width="3.375" style="1" customWidth="1"/>
    <col min="2" max="2" width="29.5" style="1" customWidth="1"/>
    <col min="3" max="3" width="22.875" style="1" customWidth="1"/>
    <col min="4" max="4" width="20.875" style="1" customWidth="1"/>
    <col min="5" max="6" width="26.125" style="1" customWidth="1"/>
    <col min="7" max="7" width="27.375" style="1" customWidth="1"/>
    <col min="8" max="8" width="30.375" style="1" customWidth="1"/>
    <col min="9" max="9" width="27.875" style="1" customWidth="1"/>
    <col min="10" max="10" width="3.375" style="1" customWidth="1"/>
    <col min="11" max="11" width="19.25" style="1" customWidth="1"/>
    <col min="12" max="29" width="9.875" style="1" customWidth="1"/>
    <col min="30" max="16384" width="11" style="1"/>
  </cols>
  <sheetData>
    <row r="1" spans="1:115" s="13" customFormat="1" ht="42" customHeight="1">
      <c r="A1" s="6"/>
      <c r="B1" s="73" t="s">
        <v>18</v>
      </c>
      <c r="C1" s="8"/>
      <c r="D1" s="7"/>
      <c r="E1" s="9"/>
      <c r="F1" s="9"/>
      <c r="G1" s="9"/>
      <c r="H1" s="8"/>
      <c r="I1" s="8"/>
      <c r="J1" s="10"/>
      <c r="K1" s="9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"/>
      <c r="AL1" s="8"/>
      <c r="AM1" s="12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8"/>
      <c r="CI1" s="8"/>
      <c r="CJ1" s="12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K1" s="14"/>
    </row>
    <row r="2" spans="1:115" ht="20.100000000000001" customHeight="1">
      <c r="A2" s="2"/>
      <c r="B2" s="88" t="s">
        <v>19</v>
      </c>
      <c r="C2" s="88"/>
      <c r="D2" s="37" t="s">
        <v>20</v>
      </c>
      <c r="E2" s="37" t="s">
        <v>21</v>
      </c>
      <c r="F2" s="53"/>
      <c r="G2" s="53"/>
      <c r="H2" s="37" t="s">
        <v>22</v>
      </c>
      <c r="I2" s="38" t="s">
        <v>23</v>
      </c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15" ht="60" customHeight="1" thickBot="1">
      <c r="A3" s="2"/>
      <c r="B3" s="89" t="s">
        <v>24</v>
      </c>
      <c r="C3" s="90"/>
      <c r="D3" s="58">
        <v>47032</v>
      </c>
      <c r="E3" s="59">
        <v>47110</v>
      </c>
      <c r="F3" s="60"/>
      <c r="G3" s="60"/>
      <c r="H3" s="61" t="s">
        <v>25</v>
      </c>
      <c r="I3" s="62" t="e">
        <f>'EN BLANCO - Informe semanal de '!D56</f>
        <v>#DIV/0!</v>
      </c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115" ht="14.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115" ht="20.100000000000001" customHeight="1">
      <c r="A5" s="2"/>
      <c r="D5" s="92" t="s">
        <v>26</v>
      </c>
      <c r="E5" s="92"/>
      <c r="F5" s="92"/>
      <c r="G5" s="85" t="s">
        <v>27</v>
      </c>
      <c r="H5" s="85" t="s">
        <v>28</v>
      </c>
      <c r="I5" s="39"/>
      <c r="J5" s="40"/>
      <c r="K5" s="2"/>
      <c r="L5" s="4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115" ht="20.100000000000001" customHeight="1">
      <c r="A6" s="2"/>
      <c r="D6" s="42" t="s">
        <v>0</v>
      </c>
      <c r="E6" s="42" t="s">
        <v>16</v>
      </c>
      <c r="F6" s="42" t="s">
        <v>29</v>
      </c>
      <c r="G6" s="86"/>
      <c r="H6" s="86"/>
      <c r="I6" s="39"/>
      <c r="J6" s="40"/>
      <c r="K6" s="2"/>
      <c r="L6" s="4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115" ht="57.95" customHeight="1" thickBot="1">
      <c r="A7" s="2"/>
      <c r="D7" s="63">
        <f>SUM(D11:D25)</f>
        <v>0</v>
      </c>
      <c r="E7" s="64">
        <f>SUMIF(I10:I25,"*"&amp;'Teclas desplegables'!D6&amp;"*",D10:D25)</f>
        <v>0</v>
      </c>
      <c r="F7" s="65">
        <f>SUM(D7-E7)</f>
        <v>0</v>
      </c>
      <c r="G7" s="78">
        <f>(E7/4)</f>
        <v>0</v>
      </c>
      <c r="H7" s="77">
        <f>ROUNDUP((DATEDIF(D3, E3, "d") / 7), 0)</f>
        <v>12</v>
      </c>
      <c r="I7" s="39"/>
      <c r="J7" s="40"/>
      <c r="K7" s="2"/>
      <c r="L7" s="4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115" ht="14.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115" ht="24.95" customHeight="1">
      <c r="A9" s="2"/>
      <c r="B9" s="54" t="s">
        <v>30</v>
      </c>
      <c r="C9" s="54" t="s">
        <v>31</v>
      </c>
      <c r="D9" s="55" t="s">
        <v>32</v>
      </c>
      <c r="E9" s="55" t="s">
        <v>33</v>
      </c>
      <c r="F9" s="55" t="s">
        <v>34</v>
      </c>
      <c r="G9" s="55" t="s">
        <v>35</v>
      </c>
      <c r="H9" s="55" t="s">
        <v>36</v>
      </c>
      <c r="I9" s="54" t="s">
        <v>10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115" ht="24.95" customHeight="1">
      <c r="A10" s="2"/>
      <c r="B10" s="27"/>
      <c r="C10" s="27"/>
      <c r="D10" s="27"/>
      <c r="E10" s="66"/>
      <c r="F10" s="66"/>
      <c r="G10" s="56" t="str">
        <f>IF(F10=0,"",F10-E10+1)</f>
        <v/>
      </c>
      <c r="H10" s="56"/>
      <c r="I10" s="2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115" ht="24.95" customHeight="1">
      <c r="A11" s="2"/>
      <c r="B11" s="3"/>
      <c r="C11" s="3"/>
      <c r="D11" s="30"/>
      <c r="E11" s="67"/>
      <c r="F11" s="67"/>
      <c r="G11" s="68" t="str">
        <f t="shared" ref="G11:G25" si="0">IF(F11=0,"",F11-E11+1)</f>
        <v/>
      </c>
      <c r="H11" s="57"/>
      <c r="I11" s="2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115" ht="24.95" customHeight="1">
      <c r="A12" s="2"/>
      <c r="B12" s="3"/>
      <c r="C12" s="3"/>
      <c r="D12" s="30"/>
      <c r="E12" s="67"/>
      <c r="F12" s="67"/>
      <c r="G12" s="68" t="str">
        <f t="shared" si="0"/>
        <v/>
      </c>
      <c r="H12" s="57"/>
      <c r="I12" s="2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115" ht="24.95" customHeight="1">
      <c r="A13" s="2"/>
      <c r="B13" s="3"/>
      <c r="C13" s="3"/>
      <c r="D13" s="30"/>
      <c r="E13" s="67"/>
      <c r="F13" s="67"/>
      <c r="G13" s="68" t="str">
        <f t="shared" si="0"/>
        <v/>
      </c>
      <c r="H13" s="57"/>
      <c r="I13" s="2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115" ht="24.95" customHeight="1">
      <c r="A14" s="2"/>
      <c r="B14" s="27"/>
      <c r="C14" s="27"/>
      <c r="D14" s="27"/>
      <c r="E14" s="66"/>
      <c r="F14" s="66"/>
      <c r="G14" s="56" t="str">
        <f t="shared" si="0"/>
        <v/>
      </c>
      <c r="H14" s="56"/>
      <c r="I14" s="2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115" ht="24.95" customHeight="1">
      <c r="A15" s="2"/>
      <c r="B15" s="3"/>
      <c r="C15" s="3"/>
      <c r="D15" s="30"/>
      <c r="E15" s="67"/>
      <c r="F15" s="67"/>
      <c r="G15" s="68" t="str">
        <f t="shared" si="0"/>
        <v/>
      </c>
      <c r="H15" s="57"/>
      <c r="I15" s="2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115" ht="24.95" customHeight="1">
      <c r="A16" s="2"/>
      <c r="B16" s="3"/>
      <c r="C16" s="3"/>
      <c r="D16" s="30"/>
      <c r="E16" s="67"/>
      <c r="F16" s="67"/>
      <c r="G16" s="68" t="str">
        <f t="shared" si="0"/>
        <v/>
      </c>
      <c r="H16" s="57"/>
      <c r="I16" s="2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24.95" customHeight="1">
      <c r="A17" s="2"/>
      <c r="B17" s="3"/>
      <c r="C17" s="3"/>
      <c r="D17" s="30"/>
      <c r="E17" s="67"/>
      <c r="F17" s="67"/>
      <c r="G17" s="68" t="str">
        <f t="shared" si="0"/>
        <v/>
      </c>
      <c r="H17" s="57"/>
      <c r="I17" s="2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4.95" customHeight="1">
      <c r="A18" s="2"/>
      <c r="B18" s="27"/>
      <c r="C18" s="27"/>
      <c r="D18" s="27"/>
      <c r="E18" s="66"/>
      <c r="F18" s="66"/>
      <c r="G18" s="56" t="str">
        <f t="shared" si="0"/>
        <v/>
      </c>
      <c r="H18" s="56"/>
      <c r="I18" s="27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4.95" customHeight="1">
      <c r="A19" s="2"/>
      <c r="B19" s="3"/>
      <c r="C19" s="3"/>
      <c r="D19" s="30"/>
      <c r="E19" s="67"/>
      <c r="F19" s="67"/>
      <c r="G19" s="68" t="str">
        <f t="shared" si="0"/>
        <v/>
      </c>
      <c r="H19" s="57"/>
      <c r="I19" s="29"/>
      <c r="K19" s="2"/>
      <c r="L19" s="2"/>
      <c r="M19" s="2"/>
      <c r="N19" s="2"/>
      <c r="O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4.95" customHeight="1">
      <c r="A20" s="2"/>
      <c r="B20" s="3"/>
      <c r="C20" s="3"/>
      <c r="D20" s="30"/>
      <c r="E20" s="67"/>
      <c r="F20" s="67"/>
      <c r="G20" s="68" t="str">
        <f t="shared" si="0"/>
        <v/>
      </c>
      <c r="H20" s="57"/>
      <c r="I20" s="29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4.95" customHeight="1">
      <c r="A21" s="2"/>
      <c r="B21" s="3"/>
      <c r="C21" s="3"/>
      <c r="D21" s="30"/>
      <c r="E21" s="67"/>
      <c r="F21" s="67"/>
      <c r="G21" s="68" t="str">
        <f t="shared" si="0"/>
        <v/>
      </c>
      <c r="H21" s="57"/>
      <c r="I21" s="29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4.95" customHeight="1">
      <c r="A22" s="2"/>
      <c r="B22" s="27"/>
      <c r="C22" s="27"/>
      <c r="D22" s="27"/>
      <c r="E22" s="66"/>
      <c r="F22" s="66"/>
      <c r="G22" s="56" t="str">
        <f t="shared" si="0"/>
        <v/>
      </c>
      <c r="H22" s="56"/>
      <c r="I22" s="27"/>
      <c r="K22" s="2"/>
      <c r="L22" s="2"/>
      <c r="M22" s="2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24.95" customHeight="1">
      <c r="A23" s="2"/>
      <c r="B23" s="3"/>
      <c r="C23" s="3"/>
      <c r="D23" s="30"/>
      <c r="E23" s="67"/>
      <c r="F23" s="67"/>
      <c r="G23" s="68" t="str">
        <f t="shared" si="0"/>
        <v/>
      </c>
      <c r="H23" s="57"/>
      <c r="I23" s="29"/>
      <c r="K23" s="2"/>
      <c r="L23" s="2"/>
      <c r="M23" s="2"/>
      <c r="N23" s="2"/>
      <c r="O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24.95" customHeight="1">
      <c r="A24" s="2"/>
      <c r="B24" s="3"/>
      <c r="C24" s="3"/>
      <c r="D24" s="30"/>
      <c r="E24" s="67"/>
      <c r="F24" s="67"/>
      <c r="G24" s="68" t="str">
        <f t="shared" si="0"/>
        <v/>
      </c>
      <c r="H24" s="57"/>
      <c r="I24" s="29"/>
      <c r="K24" s="2"/>
      <c r="L24" s="2"/>
      <c r="M24" s="2"/>
      <c r="N24" s="2"/>
      <c r="O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24.95" customHeight="1">
      <c r="A25" s="2"/>
      <c r="B25" s="3"/>
      <c r="C25" s="3"/>
      <c r="D25" s="30"/>
      <c r="E25" s="67"/>
      <c r="F25" s="67"/>
      <c r="G25" s="68" t="str">
        <f t="shared" si="0"/>
        <v/>
      </c>
      <c r="H25" s="57"/>
      <c r="I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29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29.1" customHeight="1">
      <c r="A27" s="2"/>
      <c r="B27" s="26" t="s">
        <v>37</v>
      </c>
      <c r="C27" s="2"/>
      <c r="D27" s="26"/>
      <c r="E27" s="72" t="s">
        <v>38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38.1" customHeight="1">
      <c r="A28" s="2"/>
      <c r="B28" s="2"/>
      <c r="C28" s="2"/>
      <c r="D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38.1" customHeight="1">
      <c r="A29" s="2"/>
      <c r="B29" s="2"/>
      <c r="C29" s="2"/>
      <c r="D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38.1" customHeight="1">
      <c r="A30" s="2"/>
      <c r="B30" s="2"/>
      <c r="C30" s="2"/>
      <c r="D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38.1" customHeight="1">
      <c r="A31" s="2"/>
      <c r="B31" s="2"/>
      <c r="C31" s="2"/>
      <c r="D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38.1" customHeight="1">
      <c r="A32" s="2"/>
      <c r="B32" s="2"/>
      <c r="C32" s="2"/>
      <c r="D32" s="2"/>
      <c r="K32" s="2"/>
      <c r="L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8.5">
      <c r="B34" s="26" t="s">
        <v>39</v>
      </c>
      <c r="C34" s="2"/>
      <c r="D34" s="2"/>
      <c r="E34" s="26"/>
      <c r="F34" s="26"/>
      <c r="G34" s="26"/>
    </row>
    <row r="35" spans="1:32" ht="21" customHeight="1">
      <c r="B35" s="45" t="s">
        <v>40</v>
      </c>
      <c r="C35" s="46"/>
      <c r="D35" s="47"/>
    </row>
    <row r="36" spans="1:32" ht="20.100000000000001" customHeight="1">
      <c r="B36" s="48"/>
      <c r="C36" s="49"/>
      <c r="D36" s="50"/>
    </row>
    <row r="37" spans="1:32" ht="20.100000000000001" customHeight="1">
      <c r="B37" s="48"/>
      <c r="C37" s="49"/>
      <c r="D37" s="50"/>
    </row>
    <row r="38" spans="1:32" ht="20.100000000000001" customHeight="1">
      <c r="B38" s="48"/>
      <c r="C38" s="49"/>
      <c r="D38" s="50"/>
    </row>
    <row r="39" spans="1:32" ht="20.100000000000001" customHeight="1">
      <c r="B39" s="48"/>
      <c r="C39" s="49"/>
      <c r="D39" s="50"/>
    </row>
    <row r="40" spans="1:32" ht="21" customHeight="1">
      <c r="B40" s="45" t="s">
        <v>41</v>
      </c>
      <c r="C40" s="46"/>
      <c r="D40" s="47"/>
    </row>
    <row r="41" spans="1:32" ht="20.100000000000001" customHeight="1">
      <c r="B41" s="48"/>
      <c r="C41" s="49"/>
      <c r="D41" s="50"/>
    </row>
    <row r="42" spans="1:32" ht="20.100000000000001" customHeight="1">
      <c r="B42" s="48"/>
      <c r="C42" s="49"/>
      <c r="D42" s="50"/>
    </row>
    <row r="43" spans="1:32" ht="20.100000000000001" customHeight="1">
      <c r="B43" s="48"/>
      <c r="C43" s="49"/>
      <c r="D43" s="50"/>
    </row>
    <row r="44" spans="1:32" ht="20.100000000000001" customHeight="1">
      <c r="B44" s="48"/>
      <c r="C44" s="49"/>
      <c r="D44" s="50"/>
    </row>
    <row r="45" spans="1:32" ht="20.100000000000001" customHeight="1"/>
    <row r="46" spans="1:32" ht="28.5">
      <c r="B46" s="26" t="s">
        <v>42</v>
      </c>
      <c r="C46" s="2"/>
      <c r="D46" s="2"/>
      <c r="E46" s="26"/>
    </row>
    <row r="47" spans="1:32" ht="21" customHeight="1" thickBot="1">
      <c r="B47" s="69" t="s">
        <v>43</v>
      </c>
      <c r="C47" s="44" t="s">
        <v>44</v>
      </c>
      <c r="D47" s="44" t="s">
        <v>45</v>
      </c>
      <c r="E47" s="69" t="s">
        <v>46</v>
      </c>
    </row>
    <row r="48" spans="1:32" ht="35.1" customHeight="1">
      <c r="B48" s="43" t="s">
        <v>47</v>
      </c>
      <c r="C48" s="70" t="s">
        <v>3</v>
      </c>
      <c r="D48" s="70" t="s">
        <v>3</v>
      </c>
      <c r="E48" s="43" t="s">
        <v>48</v>
      </c>
    </row>
    <row r="49" spans="2:29" ht="35.1" customHeight="1">
      <c r="B49" s="22" t="s">
        <v>49</v>
      </c>
      <c r="C49" s="71" t="s">
        <v>3</v>
      </c>
      <c r="D49" s="71" t="s">
        <v>3</v>
      </c>
      <c r="E49" s="43" t="s">
        <v>50</v>
      </c>
    </row>
    <row r="50" spans="2:29" ht="35.1" customHeight="1">
      <c r="B50" s="22" t="s">
        <v>51</v>
      </c>
      <c r="C50" s="71" t="s">
        <v>4</v>
      </c>
      <c r="D50" s="71" t="s">
        <v>4</v>
      </c>
      <c r="E50" s="43" t="s">
        <v>52</v>
      </c>
    </row>
    <row r="51" spans="2:29" ht="35.1" customHeight="1">
      <c r="B51" s="22" t="s">
        <v>53</v>
      </c>
      <c r="C51" s="71" t="s">
        <v>5</v>
      </c>
      <c r="D51" s="71" t="s">
        <v>5</v>
      </c>
      <c r="E51" s="43" t="s">
        <v>54</v>
      </c>
    </row>
    <row r="52" spans="2:29" ht="20.100000000000001" customHeight="1"/>
    <row r="53" spans="2:29" ht="20.100000000000001" customHeight="1">
      <c r="B53" s="28" t="s">
        <v>55</v>
      </c>
      <c r="C53" s="91" t="s">
        <v>56</v>
      </c>
      <c r="D53" s="91"/>
      <c r="L53" s="28" t="s">
        <v>57</v>
      </c>
    </row>
    <row r="54" spans="2:29" ht="20.100000000000001" customHeight="1">
      <c r="B54" s="22" t="s">
        <v>12</v>
      </c>
      <c r="C54" s="35">
        <f>COUNTIF(I10:I25, "NOT STARTED")</f>
        <v>0</v>
      </c>
      <c r="D54" s="36" t="e">
        <f>C54/$C$58</f>
        <v>#DIV/0!</v>
      </c>
      <c r="L54" s="52" t="s">
        <v>58</v>
      </c>
      <c r="M54" s="52" t="s">
        <v>59</v>
      </c>
      <c r="N54" s="52" t="s">
        <v>60</v>
      </c>
      <c r="O54" s="52" t="s">
        <v>61</v>
      </c>
      <c r="P54" s="52" t="s">
        <v>62</v>
      </c>
      <c r="Q54" s="52" t="s">
        <v>63</v>
      </c>
      <c r="R54" s="52" t="s">
        <v>64</v>
      </c>
      <c r="S54" s="52" t="s">
        <v>65</v>
      </c>
      <c r="T54" s="52" t="s">
        <v>66</v>
      </c>
      <c r="U54" s="52" t="s">
        <v>67</v>
      </c>
      <c r="V54" s="52" t="s">
        <v>68</v>
      </c>
      <c r="W54" s="52" t="s">
        <v>69</v>
      </c>
      <c r="X54" s="52" t="s">
        <v>70</v>
      </c>
      <c r="Y54" s="52" t="s">
        <v>71</v>
      </c>
      <c r="Z54" s="52" t="s">
        <v>72</v>
      </c>
      <c r="AA54" s="52" t="s">
        <v>73</v>
      </c>
      <c r="AB54" s="52" t="s">
        <v>74</v>
      </c>
      <c r="AC54" s="52" t="s">
        <v>0</v>
      </c>
    </row>
    <row r="55" spans="2:29" ht="20.100000000000001" customHeight="1">
      <c r="B55" s="19" t="s">
        <v>14</v>
      </c>
      <c r="C55" s="35">
        <f>COUNTIF(I10:I25, "ON TRACK")</f>
        <v>0</v>
      </c>
      <c r="D55" s="36" t="e">
        <f>C55/$C$58</f>
        <v>#DIV/0!</v>
      </c>
      <c r="K55" s="74" t="s">
        <v>32</v>
      </c>
      <c r="L55" s="68">
        <f>SUMIFS(D10:D25,E10:E25,"&gt;="&amp;D3,E10:E25,"&lt;="&amp;D3+7)</f>
        <v>0</v>
      </c>
      <c r="M55" s="68">
        <f>SUMIFS(D10:D25,E10:E25,"&gt;="&amp;D3+8,E10:E25,"&lt;="&amp;D3+14)</f>
        <v>0</v>
      </c>
      <c r="N55" s="68">
        <f>SUMIFS(D10:D25,E10:E25,"&gt;="&amp;D3+15,E10:E25,"&lt;="&amp;D3+21)</f>
        <v>0</v>
      </c>
      <c r="O55" s="68">
        <f>SUMIFS(D10:D25,E10:E25,"&gt;="&amp;D3+22,E10:E25,"&lt;="&amp;D3+28)</f>
        <v>0</v>
      </c>
      <c r="P55" s="68">
        <f>SUMIFS(D10:D25,E10:E25,"&gt;="&amp;D3+29,E10:E25,"&lt;="&amp;D3+35)</f>
        <v>0</v>
      </c>
      <c r="Q55" s="68">
        <f>SUMIFS(D10:D25,E10:E25,"&gt;="&amp;D3+36,E10:E25,"&lt;="&amp;D3+42)</f>
        <v>0</v>
      </c>
      <c r="R55" s="68">
        <f>SUMIFS(D10:D25,E10:E25,"&gt;="&amp;D3+43,E10:E25,"&lt;="&amp;D3+49)</f>
        <v>0</v>
      </c>
      <c r="S55" s="68">
        <f>SUMIFS(D10:D25,E10:E25,"&gt;="&amp;D3+50,E10:E25,"&lt;="&amp;D3+56)</f>
        <v>0</v>
      </c>
      <c r="T55" s="68">
        <f>SUMIFS(D10:D25,E10:E25,"&gt;="&amp;D3+57,E10:E25,"&lt;="&amp;D3+63)</f>
        <v>0</v>
      </c>
      <c r="U55" s="68">
        <f>SUMIFS(D10:D25,E10:E25,"&gt;="&amp;D3+64,E10:E25,"&lt;="&amp;D3+70)</f>
        <v>0</v>
      </c>
      <c r="V55" s="68">
        <f>SUMIFS(D10:D25,E10:E25,"&gt;="&amp;D3+71,E10:E25,"&lt;="&amp;D3+77)</f>
        <v>0</v>
      </c>
      <c r="W55" s="68">
        <f>SUMIFS(D10:D25,E10:E25,"&gt;="&amp;D3+78,E10:E25,"&lt;="&amp;D3+84)</f>
        <v>0</v>
      </c>
      <c r="X55" s="68">
        <f>SUMIFS(D10:D25,E10:E25,"&gt;="&amp;D3+85,E10:E25,"&lt;="&amp;D3+91)</f>
        <v>0</v>
      </c>
      <c r="Y55" s="68">
        <f>SUMIFS(D10:D25,E10:E25,"&gt;="&amp;D3+92,E10:E25,"&lt;="&amp;D3+98)</f>
        <v>0</v>
      </c>
      <c r="Z55" s="68">
        <f>SUMIFS(D10:D25,E10:E25,"&gt;="&amp;D3+99,E10:E25,"&lt;="&amp;D3+105)</f>
        <v>0</v>
      </c>
      <c r="AA55" s="68">
        <f>SUMIFS(D10:D25,E10:E25,"&gt;="&amp;D3+106,E10:E25,"&lt;="&amp;D3+112)</f>
        <v>0</v>
      </c>
      <c r="AB55" s="68">
        <f>SUMIFS(D10:D25,E10:E25,"&gt;="&amp;D3+113,E10:E25,"&lt;="&amp;D3+119)</f>
        <v>0</v>
      </c>
      <c r="AC55" s="52">
        <f>SUM(L55:AB55)</f>
        <v>0</v>
      </c>
    </row>
    <row r="56" spans="2:29" ht="20.100000000000001" customHeight="1">
      <c r="B56" s="19" t="s">
        <v>16</v>
      </c>
      <c r="C56" s="35">
        <f>COUNTIF(I10:I25, "COMPLETE")</f>
        <v>0</v>
      </c>
      <c r="D56" s="36" t="e">
        <f>C56/$C$58</f>
        <v>#DIV/0!</v>
      </c>
      <c r="K56" s="74" t="s">
        <v>16</v>
      </c>
      <c r="L56" s="80">
        <f>SUMIFS(D10:D25,E10:E25,"&gt;="&amp;D3,E10:E25,"&lt;="&amp;D3+7,I10:I25,"COMPLETE")</f>
        <v>0</v>
      </c>
      <c r="M56" s="80">
        <f>SUMIFS(D10:D25,E10:E25,"&gt;="&amp;D3+8,E10:E25,"&lt;="&amp;D3+14,I10:I25,"COMPLETE")</f>
        <v>0</v>
      </c>
      <c r="N56" s="80">
        <f>SUMIFS(D10:D25,E10:E25,"&gt;="&amp;D3+15,E10:E25,"&lt;="&amp;D3+21,I10:I25,"COMPLETE")</f>
        <v>0</v>
      </c>
      <c r="O56" s="80">
        <f>SUMIFS(D10:D25,E10:E25,"&gt;="&amp;D3+22,E10:E25,"&lt;="&amp;D3+28,I10:I25,"COMPLETE")</f>
        <v>0</v>
      </c>
      <c r="P56" s="80">
        <f>SUMIFS(D10:D25,E10:E25,"&gt;="&amp;D3+29,E10:E25,"&lt;="&amp;D3+35,I10:I25,"COMPLETE")</f>
        <v>0</v>
      </c>
      <c r="Q56" s="80">
        <f>SUMIFS(D10:D25,E10:E25,"&gt;="&amp;D3+36,E10:E25,"&lt;="&amp;D3+42,I10:I25,"COMPLETE")</f>
        <v>0</v>
      </c>
      <c r="R56" s="80">
        <f>SUMIFS(D10:D25,E10:E25,"&gt;="&amp;D3+43,E10:E25,"&lt;="&amp;D3+49,I10:I25,"COMPLETE")</f>
        <v>0</v>
      </c>
      <c r="S56" s="80">
        <f>SUMIFS(D10:D25,E10:E25,"&gt;="&amp;D3+50,E10:E25,"&lt;="&amp;D3+56,I10:I25,"COMPLETE")</f>
        <v>0</v>
      </c>
      <c r="T56" s="80">
        <f>SUMIFS(D10:D25,E10:E25,"&gt;="&amp;D3+57,E10:E25,"&lt;="&amp;D3+63,I10:I25,"COMPLETE")</f>
        <v>0</v>
      </c>
      <c r="U56" s="80">
        <f>SUMIFS(D10:D25,E10:E25,"&gt;="&amp;D3+64,E10:E25,"&lt;="&amp;D3+70,I10:I25,"COMPLETE")</f>
        <v>0</v>
      </c>
      <c r="V56" s="80">
        <f>SUMIFS(D10:D25,E10:E25,"&gt;="&amp;D3+71,E10:E25,"&lt;="&amp;D3+77,I10:I25,"COMPLETE")</f>
        <v>0</v>
      </c>
      <c r="W56" s="80">
        <f>SUMIFS(D10:D25,E10:E25,"&gt;="&amp;D3+78,E10:E25,"&lt;="&amp;D3+84,I10:I25,"COMPLETE")</f>
        <v>0</v>
      </c>
      <c r="X56" s="80">
        <f>SUMIFS(D10:D25,E10:E25,"&gt;="&amp;D3+85,E10:E25,"&lt;="&amp;D3+91,I10:I25,"COMPLETE")</f>
        <v>0</v>
      </c>
      <c r="Y56" s="80">
        <f>SUMIFS(D10:D25,E10:E25,"&gt;="&amp;D3+92,E10:E25,"&lt;="&amp;D3+98,I10:I25,"COMPLETE")</f>
        <v>0</v>
      </c>
      <c r="Z56" s="80">
        <f>SUMIFS(D10:D25,E10:E25,"&gt;="&amp;D3+99,E10:E25,"&lt;="&amp;D3+105,I10:I25,"COMPLETE")</f>
        <v>0</v>
      </c>
      <c r="AA56" s="80">
        <f>SUMIFS(D10:D25,E10:E25,"&gt;="&amp;D3+106,E10:E25,"&lt;="&amp;D3+112,I10:I25,"COMPLETE")</f>
        <v>0</v>
      </c>
      <c r="AB56" s="80">
        <f>SUMIFS(D10:D25,E10:E25,"&gt;="&amp;D3+113,E10:E25,"&lt;="&amp;D3+119,I10:I25,"COMPLETE")</f>
        <v>0</v>
      </c>
      <c r="AC56" s="52">
        <f>SUM(L56:AB56)</f>
        <v>0</v>
      </c>
    </row>
    <row r="57" spans="2:29" ht="20.100000000000001" customHeight="1">
      <c r="B57" s="18" t="s">
        <v>17</v>
      </c>
      <c r="C57" s="35">
        <f>COUNTIF(I10:I25, "DELAYED")</f>
        <v>0</v>
      </c>
      <c r="D57" s="36" t="e">
        <f>C57/$C$58</f>
        <v>#DIV/0!</v>
      </c>
      <c r="K57" s="74" t="s">
        <v>17</v>
      </c>
      <c r="L57" s="81">
        <f>SUMIFS(D10:D25,E10:E25,"&gt;="&amp;D3,E10:E25,"&lt;="&amp;D3+7,I10:I25,"DELAYED")</f>
        <v>0</v>
      </c>
      <c r="M57" s="81">
        <f>SUMIFS(D10:D25,E10:E25,"&gt;="&amp;D3+8,E10:E25,"&lt;="&amp;D3+14,I10:I25,"DELAYED")</f>
        <v>0</v>
      </c>
      <c r="N57" s="81">
        <f>SUMIFS(D10:D25,E10:E25,"&gt;="&amp;D3+15,E10:E25,"&lt;="&amp;D3+21,I10:I25,"DELAYED")</f>
        <v>0</v>
      </c>
      <c r="O57" s="81">
        <f>SUMIFS(D10:D25,E10:E25,"&gt;="&amp;D3+22,E10:E25,"&lt;="&amp;D3+28,I10:I25,"DELAYED")</f>
        <v>0</v>
      </c>
      <c r="P57" s="81">
        <f>SUMIFS(D10:D25,E10:E25,"&gt;="&amp;D3+29,E10:E25,"&lt;="&amp;D3+35,I10:I25,"DELAYED")</f>
        <v>0</v>
      </c>
      <c r="Q57" s="81">
        <f>SUMIFS(D10:D25,E10:E25,"&gt;="&amp;D3+36,E10:E25,"&lt;="&amp;D3+42,I10:I25,"DELAYED")</f>
        <v>0</v>
      </c>
      <c r="R57" s="81">
        <f>SUMIFS(D10:D25,E10:E25,"&gt;="&amp;D3+43,E10:E25,"&lt;="&amp;D3+49,I10:I25,"DELAYED")</f>
        <v>0</v>
      </c>
      <c r="S57" s="81">
        <f>SUMIFS(D10:D25,E10:E25,"&gt;="&amp;D3+50,E10:E25,"&lt;="&amp;D3+56,I10:I25,"DELAYED")</f>
        <v>0</v>
      </c>
      <c r="T57" s="81">
        <f>SUMIFS(D10:D25,E10:E25,"&gt;="&amp;D3+57,E10:E25,"&lt;="&amp;D3+63,I10:I25,"DELAYED")</f>
        <v>0</v>
      </c>
      <c r="U57" s="81">
        <f>SUMIFS(D10:D25,E10:E25,"&gt;="&amp;D3+64,E10:E25,"&lt;="&amp;D3+70,I10:I25,"DELAYED")</f>
        <v>0</v>
      </c>
      <c r="V57" s="81">
        <f>SUMIFS(D10:D25,E10:E25,"&gt;="&amp;D3+71,E10:E25,"&lt;="&amp;D3+77,I10:I25,"DELAYED")</f>
        <v>0</v>
      </c>
      <c r="W57" s="81">
        <f>SUMIFS(D10:D25,E10:E25,"&gt;="&amp;D3+78,E10:E25,"&lt;="&amp;D3+84,I10:I25,"DELAYED")</f>
        <v>0</v>
      </c>
      <c r="X57" s="81">
        <f>SUMIFS(D10:D25,E10:E25,"&gt;="&amp;D3+85,E10:E25,"&lt;="&amp;D3+91,I10:I25,"DELAYED")</f>
        <v>0</v>
      </c>
      <c r="Y57" s="81">
        <f>SUMIFS(D10:D25,E10:E25,"&gt;="&amp;D3+92,E10:E25,"&lt;="&amp;D3+98,I10:I25,"DELAYED")</f>
        <v>0</v>
      </c>
      <c r="Z57" s="81">
        <f>SUMIFS(D10:D25,E10:E25,"&gt;="&amp;D3+99,E10:E25,"&lt;="&amp;D3+105,I10:I25,"DELAYED")</f>
        <v>0</v>
      </c>
      <c r="AA57" s="81">
        <f>SUMIFS(D10:D25,E10:E25,"&gt;="&amp;D3+106,E10:E25,"&lt;="&amp;D3+112,I10:I25,"DELAYED")</f>
        <v>0</v>
      </c>
      <c r="AB57" s="81">
        <f>SUMIFS(D10:D25,E10:E25,"&gt;="&amp;D3+113,E10:E25,"&lt;="&amp;D3+119,I10:I25,"DELAYED")</f>
        <v>0</v>
      </c>
      <c r="AC57" s="52">
        <f t="shared" ref="AC57:AC60" si="1">SUM(L57:AB57)</f>
        <v>0</v>
      </c>
    </row>
    <row r="58" spans="2:29" ht="20.100000000000001" customHeight="1">
      <c r="B58" s="32" t="s">
        <v>0</v>
      </c>
      <c r="C58" s="33">
        <f>SUM(C54:C57)</f>
        <v>0</v>
      </c>
      <c r="D58" s="34" t="e">
        <f>SUM(D54:D57)</f>
        <v>#DIV/0!</v>
      </c>
      <c r="K58" s="74" t="s">
        <v>12</v>
      </c>
      <c r="L58" s="76">
        <f>SUMIFS(D10:D25,E10:E25,"&gt;="&amp;D3,E10:E25,"&lt;="&amp;D3+7,I10:I25,"NOT STARTED")</f>
        <v>0</v>
      </c>
      <c r="M58" s="76">
        <f>SUMIFS(D10:D25,E10:E25,"&gt;="&amp;D3+8,E10:E25,"&lt;="&amp;D3+14,I10:I25,"NOT STARTED")</f>
        <v>0</v>
      </c>
      <c r="N58" s="76">
        <f>SUMIFS(D10:D25,E10:E25,"&gt;="&amp;D3+15,E10:E25,"&lt;="&amp;D3+21,I10:I25,"NOT STARTED")</f>
        <v>0</v>
      </c>
      <c r="O58" s="76">
        <f>SUMIFS(D10:D25,E10:E25,"&gt;="&amp;D3+22,E10:E25,"&lt;="&amp;D3+28,I10:I25,"NOT STARTED")</f>
        <v>0</v>
      </c>
      <c r="P58" s="76">
        <f>SUMIFS(D10:D25,E10:E25,"&gt;="&amp;D3+29,E10:E25,"&lt;="&amp;D3+35,I10:I25,"NOT STARTED")</f>
        <v>0</v>
      </c>
      <c r="Q58" s="76">
        <f>SUMIFS(D10:D25,E10:E25,"&gt;="&amp;D3+36,E10:E25,"&lt;="&amp;D3+42,I10:I25,"NOT STARTED")</f>
        <v>0</v>
      </c>
      <c r="R58" s="76">
        <f>SUMIFS(D10:D25,E10:E25,"&gt;="&amp;D3+43,E10:E25,"&lt;="&amp;D3+49,I10:I25,"NOT STARTED")</f>
        <v>0</v>
      </c>
      <c r="S58" s="76">
        <f>SUMIFS(D10:D25,E10:E25,"&gt;="&amp;D3+50,E10:E25,"&lt;="&amp;D3+56,I10:I25,"NOT STARTED")</f>
        <v>0</v>
      </c>
      <c r="T58" s="76">
        <f>SUMIFS(D10:D25,E10:E25,"&gt;="&amp;D3+57,E10:E25,"&lt;="&amp;D3+63,I10:I25,"NOT STARTED")</f>
        <v>0</v>
      </c>
      <c r="U58" s="76">
        <f>SUMIFS(D10:D25,E10:E25,"&gt;="&amp;D3+64,E10:E25,"&lt;="&amp;D3+70,I10:I25,"NOT STARTED")</f>
        <v>0</v>
      </c>
      <c r="V58" s="76">
        <f>SUMIFS(D10:D25,E10:E25,"&gt;="&amp;D3+71,E10:E25,"&lt;="&amp;D3+77,I10:I25,"NOT STARTED")</f>
        <v>0</v>
      </c>
      <c r="W58" s="76">
        <f>SUMIFS(D10:D25,E10:E25,"&gt;="&amp;D3+78,E10:E25,"&lt;="&amp;D3+84,I10:I25,"NOT STARTED")</f>
        <v>0</v>
      </c>
      <c r="X58" s="76">
        <f>SUMIFS(D10:D25,E10:E25,"&gt;="&amp;D3+85,E10:E25,"&lt;="&amp;D3+91,I10:I25,"NOT STARTED")</f>
        <v>0</v>
      </c>
      <c r="Y58" s="76">
        <f>SUMIFS(D10:D25,E10:E25,"&gt;="&amp;D3+92,E10:E25,"&lt;="&amp;D3+98,I10:I25,"NOT STARTED")</f>
        <v>0</v>
      </c>
      <c r="Z58" s="76">
        <f>SUMIFS(D10:D25,E10:E25,"&gt;="&amp;D3+99,E10:E25,"&lt;="&amp;D3+105,I10:I25,"NOT STARTED")</f>
        <v>0</v>
      </c>
      <c r="AA58" s="76">
        <f>SUMIFS(D10:D25,E10:E25,"&gt;="&amp;D3+106,E10:E25,"&lt;="&amp;D3+112,I10:I25,"NOT STARTED")</f>
        <v>0</v>
      </c>
      <c r="AB58" s="76">
        <f>SUMIFS(D10:D25,E10:E25,"&gt;="&amp;D3+113,E10:E25,"&lt;="&amp;D3+119,I10:I25,"NOT STARTED")</f>
        <v>0</v>
      </c>
      <c r="AC58" s="52">
        <f t="shared" si="1"/>
        <v>0</v>
      </c>
    </row>
    <row r="59" spans="2:29" ht="20.100000000000001" customHeight="1">
      <c r="K59" s="74" t="s">
        <v>14</v>
      </c>
      <c r="L59" s="75">
        <f>SUMIFS(D10:D25,E10:E25,"&gt;="&amp;D3,E10:E25,"&lt;="&amp;D3+7,I10:I25,"ON TRACK")</f>
        <v>0</v>
      </c>
      <c r="M59" s="75">
        <f>SUMIFS(D10:D25,E10:E25,"&gt;="&amp;D3+8,E10:E25,"&lt;="&amp;D3+14,I10:I25,"ON TRACK")</f>
        <v>0</v>
      </c>
      <c r="N59" s="75">
        <f>SUMIFS(D10:D25,E10:E25,"&gt;="&amp;D3+15,E10:E25,"&lt;="&amp;D3+21,I10:I25,"ON TRACK")</f>
        <v>0</v>
      </c>
      <c r="O59" s="75">
        <f>SUMIFS(D10:D25,E10:E25,"&gt;="&amp;D3+22,E10:E25,"&lt;="&amp;D3+28,I10:I25,"ON TRACK")</f>
        <v>0</v>
      </c>
      <c r="P59" s="75">
        <f>SUMIFS(D10:D25,E10:E25,"&gt;="&amp;D3+29,E10:E25,"&lt;="&amp;D3+35,I10:I25,"ON TRACK")</f>
        <v>0</v>
      </c>
      <c r="Q59" s="75">
        <f>SUMIFS(D10:D25,E10:E25,"&gt;="&amp;D3+36,E10:E25,"&lt;="&amp;D3+42,I10:I25,"ON TRACK")</f>
        <v>0</v>
      </c>
      <c r="R59" s="75">
        <f>SUMIFS(D10:D25,E10:E25,"&gt;="&amp;D3+43,E10:E25,"&lt;="&amp;D3+49,I10:I25,"ON TRACK")</f>
        <v>0</v>
      </c>
      <c r="S59" s="75">
        <f>SUMIFS(D10:D25,E10:E25,"&gt;="&amp;D3+50,E10:E25,"&lt;="&amp;D3+56,I10:I25,"ON TRACK")</f>
        <v>0</v>
      </c>
      <c r="T59" s="75">
        <f>SUMIFS(D10:D25,E10:E25,"&gt;="&amp;D3+57,E10:E25,"&lt;="&amp;D3+63,I10:I25,"ON TRACK")</f>
        <v>0</v>
      </c>
      <c r="U59" s="75">
        <f>SUMIFS(D10:D25,E10:E25,"&gt;="&amp;D3+64,E10:E25,"&lt;="&amp;D3+70,I10:I25,"ON TRACK")</f>
        <v>0</v>
      </c>
      <c r="V59" s="75">
        <f>SUMIFS(D10:D25,E10:E25,"&gt;="&amp;D3+71,E10:E25,"&lt;="&amp;D3+77,I10:I25,"ON TRACK")</f>
        <v>0</v>
      </c>
      <c r="W59" s="75">
        <f>SUMIFS(D10:D25,E10:E25,"&gt;="&amp;D3+78,E10:E25,"&lt;="&amp;D3+84,I10:I25,"ON TRACK")</f>
        <v>0</v>
      </c>
      <c r="X59" s="75">
        <f>SUMIFS(D10:D25,E10:E25,"&gt;="&amp;D3+85,E10:E25,"&lt;="&amp;D3+91,I10:I25,"ON TRACK")</f>
        <v>0</v>
      </c>
      <c r="Y59" s="75">
        <f>SUMIFS(D10:D25,E10:E25,"&gt;="&amp;D3+92,E10:E25,"&lt;="&amp;D3+98,I10:I25,"ON TRACK")</f>
        <v>0</v>
      </c>
      <c r="Z59" s="75">
        <f>SUMIFS(D10:D25,E10:E25,"&gt;="&amp;D3+99,E10:E25,"&lt;="&amp;D3+105,I10:I25,"ON TRACK")</f>
        <v>0</v>
      </c>
      <c r="AA59" s="75">
        <f>SUMIFS(D10:D25,E10:E25,"&gt;="&amp;D3+106,E10:E25,"&lt;="&amp;D3+112,I10:I25,"ON TRACK")</f>
        <v>0</v>
      </c>
      <c r="AB59" s="75">
        <f>SUMIFS(D10:D25,E10:E25,"&gt;="&amp;D3+113,E10:E25,"&lt;="&amp;D3+119,I10:I25,"ON TRACK")</f>
        <v>0</v>
      </c>
      <c r="AC59" s="52">
        <f t="shared" si="1"/>
        <v>0</v>
      </c>
    </row>
    <row r="60" spans="2:29" ht="20.100000000000001" customHeight="1">
      <c r="K60" s="74" t="s">
        <v>75</v>
      </c>
      <c r="L60" s="79">
        <f>SUM(L57:L59)</f>
        <v>0</v>
      </c>
      <c r="M60" s="79">
        <f t="shared" ref="M60:AB60" si="2">SUM(M57:M59)</f>
        <v>0</v>
      </c>
      <c r="N60" s="79">
        <f t="shared" si="2"/>
        <v>0</v>
      </c>
      <c r="O60" s="79">
        <f t="shared" si="2"/>
        <v>0</v>
      </c>
      <c r="P60" s="79">
        <f t="shared" si="2"/>
        <v>0</v>
      </c>
      <c r="Q60" s="79">
        <f t="shared" si="2"/>
        <v>0</v>
      </c>
      <c r="R60" s="79">
        <f t="shared" si="2"/>
        <v>0</v>
      </c>
      <c r="S60" s="79">
        <f t="shared" si="2"/>
        <v>0</v>
      </c>
      <c r="T60" s="79">
        <f t="shared" si="2"/>
        <v>0</v>
      </c>
      <c r="U60" s="79">
        <f t="shared" si="2"/>
        <v>0</v>
      </c>
      <c r="V60" s="79">
        <f t="shared" si="2"/>
        <v>0</v>
      </c>
      <c r="W60" s="79">
        <f t="shared" si="2"/>
        <v>0</v>
      </c>
      <c r="X60" s="79">
        <f t="shared" si="2"/>
        <v>0</v>
      </c>
      <c r="Y60" s="79">
        <f t="shared" si="2"/>
        <v>0</v>
      </c>
      <c r="Z60" s="79">
        <f t="shared" si="2"/>
        <v>0</v>
      </c>
      <c r="AA60" s="79">
        <f t="shared" si="2"/>
        <v>0</v>
      </c>
      <c r="AB60" s="79">
        <f t="shared" si="2"/>
        <v>0</v>
      </c>
      <c r="AC60" s="52">
        <f t="shared" si="1"/>
        <v>0</v>
      </c>
    </row>
    <row r="61" spans="2:29" ht="20.100000000000001" customHeight="1">
      <c r="K61" s="1" t="s">
        <v>76</v>
      </c>
      <c r="L61" s="82">
        <f>AC55</f>
        <v>0</v>
      </c>
      <c r="M61" s="82">
        <f>($L$61-$L$61/$H$7)</f>
        <v>0</v>
      </c>
      <c r="N61" s="82" t="str">
        <f>IF(M61-$M$62&gt;0,M61-$M$62,"0")</f>
        <v>0</v>
      </c>
      <c r="O61" s="82" t="str">
        <f t="shared" ref="O61:AB61" si="3">IF(N61-$M$62&gt;0,N61-$M$62,"0")</f>
        <v>0</v>
      </c>
      <c r="P61" s="82" t="str">
        <f t="shared" si="3"/>
        <v>0</v>
      </c>
      <c r="Q61" s="82" t="str">
        <f t="shared" si="3"/>
        <v>0</v>
      </c>
      <c r="R61" s="82" t="str">
        <f t="shared" si="3"/>
        <v>0</v>
      </c>
      <c r="S61" s="82" t="str">
        <f t="shared" si="3"/>
        <v>0</v>
      </c>
      <c r="T61" s="82" t="str">
        <f t="shared" si="3"/>
        <v>0</v>
      </c>
      <c r="U61" s="82" t="str">
        <f t="shared" si="3"/>
        <v>0</v>
      </c>
      <c r="V61" s="82" t="str">
        <f t="shared" si="3"/>
        <v>0</v>
      </c>
      <c r="W61" s="82" t="str">
        <f t="shared" si="3"/>
        <v>0</v>
      </c>
      <c r="X61" s="82" t="str">
        <f t="shared" si="3"/>
        <v>0</v>
      </c>
      <c r="Y61" s="82" t="str">
        <f t="shared" si="3"/>
        <v>0</v>
      </c>
      <c r="Z61" s="82" t="str">
        <f t="shared" si="3"/>
        <v>0</v>
      </c>
      <c r="AA61" s="82" t="str">
        <f t="shared" si="3"/>
        <v>0</v>
      </c>
      <c r="AB61" s="82" t="str">
        <f t="shared" si="3"/>
        <v>0</v>
      </c>
    </row>
    <row r="62" spans="2:29" ht="20.100000000000001" customHeight="1">
      <c r="L62" s="84"/>
      <c r="M62" s="83">
        <f>L61-M61</f>
        <v>0</v>
      </c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</row>
    <row r="63" spans="2:29" ht="20.100000000000001" customHeight="1"/>
    <row r="64" spans="2:29" customFormat="1" ht="50.1" customHeight="1">
      <c r="B64" s="1"/>
      <c r="C64" s="1"/>
      <c r="D64" s="1"/>
    </row>
    <row r="65" ht="20.100000000000001" customHeight="1"/>
    <row r="67" ht="20.100000000000001" customHeight="1"/>
    <row r="68" ht="20.100000000000001" customHeight="1"/>
    <row r="151" spans="2:10" ht="28.5">
      <c r="B151" s="51" t="s">
        <v>77</v>
      </c>
      <c r="C151" s="51"/>
      <c r="D151" s="51"/>
    </row>
    <row r="157" spans="2:10" customFormat="1" ht="50.1" customHeight="1">
      <c r="B157" s="1"/>
      <c r="C157" s="1"/>
      <c r="D157" s="1"/>
      <c r="E157" s="51"/>
      <c r="F157" s="51"/>
      <c r="G157" s="51"/>
      <c r="H157" s="51"/>
      <c r="I157" s="51"/>
      <c r="J157" s="51"/>
    </row>
  </sheetData>
  <mergeCells count="6">
    <mergeCell ref="H5:H6"/>
    <mergeCell ref="C53:D53"/>
    <mergeCell ref="B2:C2"/>
    <mergeCell ref="B3:C3"/>
    <mergeCell ref="D5:F5"/>
    <mergeCell ref="G5:G6"/>
  </mergeCells>
  <phoneticPr fontId="28" type="noConversion"/>
  <conditionalFormatting sqref="D11:D13 D15:D17 D19:D21 D23:D25">
    <cfRule type="containsText" dxfId="13" priority="5" operator="containsText" text="Baja">
      <formula>NOT(ISERROR(SEARCH("Baja",D11)))</formula>
    </cfRule>
    <cfRule type="containsText" dxfId="12" priority="6" operator="containsText" text="Media">
      <formula>NOT(ISERROR(SEARCH("Media",D11)))</formula>
    </cfRule>
    <cfRule type="containsText" dxfId="11" priority="7" operator="containsText" text="Alta">
      <formula>NOT(ISERROR(SEARCH("Alta",D11)))</formula>
    </cfRule>
  </conditionalFormatting>
  <conditionalFormatting sqref="I11:I13 I15:I17 I19:I21 I23:I25 B54:B57">
    <cfRule type="containsText" dxfId="10" priority="1" operator="containsText" text="NO SE HA INICIADO">
      <formula>NOT(ISERROR(SEARCH("NO SE HA INICIADO",B11)))</formula>
    </cfRule>
    <cfRule type="containsText" dxfId="9" priority="2" operator="containsText" text="DEMORADO">
      <formula>NOT(ISERROR(SEARCH("DEMORADO",B11)))</formula>
    </cfRule>
    <cfRule type="containsText" dxfId="8" priority="3" operator="containsText" text="COMPLETO">
      <formula>NOT(ISERROR(SEARCH("COMPLETO",B11)))</formula>
    </cfRule>
    <cfRule type="containsText" dxfId="7" priority="4" operator="containsText" text="EN CURSO">
      <formula>NOT(ISERROR(SEARCH("EN CURSO",B11)))</formula>
    </cfRule>
  </conditionalFormatting>
  <hyperlinks>
    <hyperlink ref="B157:J157" r:id="rId1" display="CLICK HERE TO CREATE IN SMARTSHEET" xr:uid="{00000000-0004-0000-0100-000000000000}"/>
  </hyperlinks>
  <pageMargins left="0.4" right="0.4" top="0.4" bottom="0.4" header="0" footer="0"/>
  <pageSetup scale="70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'Teclas desplegables'!$D$4:$D$7</xm:f>
          </x14:formula1>
          <xm:sqref>I10:I25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DI53"/>
  <sheetViews>
    <sheetView showGridLines="0" workbookViewId="0">
      <selection activeCell="F15" sqref="F15"/>
    </sheetView>
  </sheetViews>
  <sheetFormatPr defaultColWidth="11" defaultRowHeight="15.75"/>
  <cols>
    <col min="1" max="1" width="3.375" style="15" customWidth="1"/>
    <col min="2" max="2" width="18.375" customWidth="1"/>
    <col min="3" max="3" width="3.375" style="15" customWidth="1"/>
    <col min="4" max="4" width="20.25" customWidth="1"/>
    <col min="5" max="5" width="3.375" style="15" customWidth="1"/>
  </cols>
  <sheetData>
    <row r="1" spans="1:113" s="13" customFormat="1" ht="42" customHeight="1">
      <c r="A1" s="6"/>
      <c r="B1" s="7" t="s">
        <v>7</v>
      </c>
      <c r="C1" s="9"/>
      <c r="D1" s="8"/>
      <c r="E1" s="10"/>
      <c r="F1" s="10"/>
      <c r="G1" s="10"/>
      <c r="H1" s="8"/>
      <c r="I1" s="11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8"/>
      <c r="AJ1" s="8"/>
      <c r="AK1" s="1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8"/>
      <c r="CG1" s="8"/>
      <c r="CH1" s="12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I1" s="14"/>
    </row>
    <row r="2" spans="1:113" s="15" customFormat="1" ht="42" customHeight="1" thickBot="1">
      <c r="B2" s="26" t="s">
        <v>8</v>
      </c>
      <c r="C2" s="25"/>
      <c r="D2" s="25"/>
      <c r="E2" s="25"/>
      <c r="F2" s="25"/>
      <c r="G2" s="25"/>
      <c r="H2" s="25"/>
      <c r="I2" s="2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113" ht="24.95" customHeight="1" thickTop="1">
      <c r="A3" s="16"/>
      <c r="B3" s="31" t="s">
        <v>9</v>
      </c>
      <c r="C3" s="16"/>
      <c r="D3" s="24" t="s">
        <v>10</v>
      </c>
      <c r="E3" s="16"/>
    </row>
    <row r="4" spans="1:113" ht="35.1" customHeight="1">
      <c r="A4" s="16"/>
      <c r="B4" s="23" t="s">
        <v>11</v>
      </c>
      <c r="C4" s="16"/>
      <c r="D4" s="22" t="s">
        <v>12</v>
      </c>
      <c r="E4" s="16"/>
    </row>
    <row r="5" spans="1:113" ht="35.1" customHeight="1">
      <c r="A5" s="16"/>
      <c r="B5" s="21" t="s">
        <v>13</v>
      </c>
      <c r="C5" s="16"/>
      <c r="D5" s="19" t="s">
        <v>14</v>
      </c>
      <c r="E5" s="16"/>
    </row>
    <row r="6" spans="1:113" ht="35.1" customHeight="1">
      <c r="A6" s="16"/>
      <c r="B6" s="20" t="s">
        <v>15</v>
      </c>
      <c r="C6" s="16"/>
      <c r="D6" s="19" t="s">
        <v>16</v>
      </c>
      <c r="E6" s="16"/>
    </row>
    <row r="7" spans="1:113" ht="35.1" customHeight="1">
      <c r="A7" s="16"/>
      <c r="B7" s="17"/>
      <c r="C7" s="16"/>
      <c r="D7" s="18" t="s">
        <v>17</v>
      </c>
      <c r="E7" s="16"/>
    </row>
    <row r="8" spans="1:113" ht="16.5">
      <c r="A8" s="16"/>
      <c r="B8" s="17"/>
      <c r="C8" s="16"/>
      <c r="D8" s="17"/>
      <c r="E8" s="16"/>
    </row>
    <row r="9" spans="1:113" ht="16.5">
      <c r="A9" s="16"/>
      <c r="B9" s="17"/>
      <c r="C9" s="16"/>
      <c r="E9" s="16"/>
    </row>
    <row r="10" spans="1:113" ht="16.5">
      <c r="A10" s="16"/>
      <c r="B10" s="17"/>
      <c r="C10" s="16"/>
      <c r="E10" s="16"/>
    </row>
    <row r="11" spans="1:113" ht="16.5">
      <c r="A11" s="16"/>
      <c r="B11" s="17"/>
      <c r="C11" s="16"/>
      <c r="E11" s="16"/>
    </row>
    <row r="12" spans="1:113" ht="16.5">
      <c r="A12" s="16"/>
      <c r="B12" s="17"/>
      <c r="C12" s="16"/>
      <c r="E12" s="16"/>
    </row>
    <row r="13" spans="1:113" ht="16.5">
      <c r="A13" s="16"/>
      <c r="B13" s="17"/>
      <c r="C13" s="16"/>
      <c r="E13" s="16"/>
    </row>
    <row r="14" spans="1:113" ht="16.5">
      <c r="A14" s="16"/>
      <c r="B14" s="17"/>
      <c r="C14" s="16"/>
      <c r="E14" s="16"/>
    </row>
    <row r="15" spans="1:113" ht="16.5">
      <c r="A15" s="16"/>
      <c r="B15" s="17"/>
      <c r="C15" s="16"/>
      <c r="E15" s="16"/>
    </row>
    <row r="16" spans="1:113" ht="16.5">
      <c r="A16" s="16"/>
      <c r="B16" s="17"/>
      <c r="C16" s="16"/>
      <c r="E16" s="16"/>
    </row>
    <row r="17" spans="1:5" ht="16.5">
      <c r="A17" s="16"/>
      <c r="B17" s="17"/>
      <c r="C17" s="16"/>
      <c r="E17" s="16"/>
    </row>
    <row r="18" spans="1:5" ht="16.5">
      <c r="A18" s="16"/>
      <c r="B18" s="17"/>
      <c r="C18" s="16"/>
      <c r="E18" s="16"/>
    </row>
    <row r="19" spans="1:5" ht="16.5">
      <c r="A19" s="16"/>
      <c r="B19" s="17"/>
      <c r="C19" s="16"/>
      <c r="E19" s="16"/>
    </row>
    <row r="20" spans="1:5" ht="16.5">
      <c r="A20" s="16"/>
      <c r="B20" s="17"/>
      <c r="C20" s="16"/>
      <c r="E20" s="16"/>
    </row>
    <row r="21" spans="1:5" ht="16.5">
      <c r="A21" s="16"/>
      <c r="B21" s="17"/>
      <c r="C21" s="16"/>
      <c r="E21" s="16"/>
    </row>
    <row r="22" spans="1:5" ht="16.5">
      <c r="A22" s="16"/>
      <c r="B22" s="17"/>
      <c r="C22" s="16"/>
      <c r="E22" s="16"/>
    </row>
    <row r="23" spans="1:5" ht="16.5">
      <c r="A23" s="16"/>
      <c r="B23" s="17"/>
      <c r="C23" s="16"/>
      <c r="E23" s="16"/>
    </row>
    <row r="24" spans="1:5" ht="16.5">
      <c r="A24"/>
      <c r="B24" s="17"/>
      <c r="C24"/>
      <c r="E24"/>
    </row>
    <row r="25" spans="1:5">
      <c r="A25" s="16"/>
      <c r="C25" s="16"/>
      <c r="E25" s="16"/>
    </row>
    <row r="26" spans="1:5">
      <c r="A26" s="16"/>
      <c r="C26" s="16"/>
      <c r="E26" s="16"/>
    </row>
    <row r="27" spans="1:5">
      <c r="A27" s="16"/>
      <c r="C27" s="16"/>
      <c r="E27" s="16"/>
    </row>
    <row r="28" spans="1:5">
      <c r="A28" s="16"/>
      <c r="C28" s="16"/>
      <c r="E28" s="16"/>
    </row>
    <row r="29" spans="1:5">
      <c r="A29" s="16"/>
      <c r="C29" s="16"/>
      <c r="E29" s="16"/>
    </row>
    <row r="30" spans="1:5">
      <c r="A30" s="16"/>
      <c r="C30" s="16"/>
      <c r="E30" s="16"/>
    </row>
    <row r="31" spans="1:5">
      <c r="A31" s="16"/>
      <c r="C31" s="16"/>
      <c r="E31" s="16"/>
    </row>
    <row r="32" spans="1:5">
      <c r="A32" s="16"/>
      <c r="C32" s="16"/>
      <c r="E32" s="16"/>
    </row>
    <row r="33" spans="1:5">
      <c r="A33" s="16"/>
      <c r="C33" s="16"/>
      <c r="E33" s="16"/>
    </row>
    <row r="34" spans="1:5">
      <c r="A34" s="16"/>
      <c r="C34" s="16"/>
      <c r="E34" s="16"/>
    </row>
    <row r="35" spans="1:5">
      <c r="A35" s="16"/>
      <c r="C35" s="16"/>
      <c r="E35" s="16"/>
    </row>
    <row r="36" spans="1:5">
      <c r="A36" s="16"/>
      <c r="C36" s="16"/>
      <c r="E36" s="16"/>
    </row>
    <row r="37" spans="1:5">
      <c r="A37" s="16"/>
      <c r="C37" s="16"/>
      <c r="E37" s="16"/>
    </row>
    <row r="38" spans="1:5">
      <c r="A38" s="16"/>
      <c r="C38" s="16"/>
      <c r="E38" s="16"/>
    </row>
    <row r="39" spans="1:5">
      <c r="A39" s="16"/>
      <c r="C39" s="16"/>
      <c r="E39" s="16"/>
    </row>
    <row r="40" spans="1:5">
      <c r="A40" s="16"/>
      <c r="C40" s="16"/>
      <c r="E40" s="16"/>
    </row>
    <row r="41" spans="1:5">
      <c r="A41" s="16"/>
      <c r="C41" s="16"/>
      <c r="E41" s="16"/>
    </row>
    <row r="42" spans="1:5">
      <c r="A42" s="16"/>
      <c r="C42" s="16"/>
      <c r="E42" s="16"/>
    </row>
    <row r="43" spans="1:5">
      <c r="A43" s="16"/>
      <c r="C43" s="16"/>
      <c r="E43" s="16"/>
    </row>
    <row r="44" spans="1:5">
      <c r="A44" s="16"/>
      <c r="C44" s="16"/>
      <c r="E44" s="16"/>
    </row>
    <row r="45" spans="1:5">
      <c r="A45" s="16"/>
      <c r="C45" s="16"/>
      <c r="E45" s="16"/>
    </row>
    <row r="46" spans="1:5">
      <c r="A46" s="16"/>
      <c r="C46" s="16"/>
      <c r="E46" s="16"/>
    </row>
    <row r="47" spans="1:5">
      <c r="A47" s="16"/>
      <c r="C47" s="16"/>
      <c r="E47" s="16"/>
    </row>
    <row r="48" spans="1:5">
      <c r="A48" s="16"/>
      <c r="C48" s="16"/>
      <c r="E48" s="16"/>
    </row>
    <row r="49" spans="1:5">
      <c r="A49" s="16"/>
      <c r="C49" s="16"/>
      <c r="E49" s="16"/>
    </row>
    <row r="50" spans="1:5">
      <c r="A50" s="16"/>
      <c r="C50" s="16"/>
      <c r="E50" s="16"/>
    </row>
    <row r="51" spans="1:5">
      <c r="A51" s="16"/>
      <c r="C51" s="16"/>
      <c r="E51" s="16"/>
    </row>
    <row r="52" spans="1:5">
      <c r="A52" s="16"/>
      <c r="C52" s="16"/>
      <c r="E52" s="16"/>
    </row>
    <row r="53" spans="1:5">
      <c r="A53" s="16"/>
      <c r="C53" s="16"/>
      <c r="E53" s="16"/>
    </row>
  </sheetData>
  <phoneticPr fontId="28" type="noConversion"/>
  <conditionalFormatting sqref="B4:B6">
    <cfRule type="containsText" dxfId="6" priority="6" operator="containsText" text="Baja">
      <formula>NOT(ISERROR(SEARCH("Baja",B4)))</formula>
    </cfRule>
    <cfRule type="containsText" dxfId="5" priority="7" operator="containsText" text="Media">
      <formula>NOT(ISERROR(SEARCH("Media",B4)))</formula>
    </cfRule>
    <cfRule type="containsText" dxfId="4" priority="8" operator="containsText" text="Alta">
      <formula>NOT(ISERROR(SEARCH("Alta",B4)))</formula>
    </cfRule>
  </conditionalFormatting>
  <conditionalFormatting sqref="D4:D7">
    <cfRule type="containsText" dxfId="3" priority="1" operator="containsText" text="NO SE HA INICIADO">
      <formula>NOT(ISERROR(SEARCH("NO SE HA INICIADO",D4)))</formula>
    </cfRule>
    <cfRule type="containsText" dxfId="2" priority="2" operator="containsText" text="DEMORADO">
      <formula>NOT(ISERROR(SEARCH("DEMORADO",D4)))</formula>
    </cfRule>
    <cfRule type="containsText" dxfId="1" priority="3" operator="containsText" text="COMPLETO">
      <formula>NOT(ISERROR(SEARCH("COMPLETO",D4)))</formula>
    </cfRule>
    <cfRule type="containsText" dxfId="0" priority="4" operator="containsText" text="EN CURSO">
      <formula>NOT(ISERROR(SEARCH("EN CURSO",D4)))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B1:B2"/>
  <sheetViews>
    <sheetView showGridLines="0" workbookViewId="0">
      <selection activeCell="B14" sqref="B14"/>
    </sheetView>
  </sheetViews>
  <sheetFormatPr defaultColWidth="10.875" defaultRowHeight="15"/>
  <cols>
    <col min="1" max="1" width="3.375" style="5" customWidth="1"/>
    <col min="2" max="2" width="89.875" style="5" customWidth="1"/>
    <col min="3" max="16384" width="10.875" style="5"/>
  </cols>
  <sheetData>
    <row r="1" spans="2:2" ht="20.100000000000001" customHeight="1"/>
    <row r="2" spans="2:2" ht="120.75" customHeight="1">
      <c r="B2" s="4" t="s">
        <v>6</v>
      </c>
    </row>
  </sheetData>
  <phoneticPr fontId="2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EJEMPLO - Informe semanal de sp</vt:lpstr>
      <vt:lpstr>EN BLANCO - Informe semanal de </vt:lpstr>
      <vt:lpstr>Teclas desplegables</vt:lpstr>
      <vt:lpstr>- Renuncia -</vt:lpstr>
      <vt:lpstr>'EJEMPLO - Informe semanal de sp'!Print_Area</vt:lpstr>
      <vt:lpstr>'EN BLANCO - Informe semanal de '!Print_Area</vt:lpstr>
      <vt:lpstr>Status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2023-12-01T16:57:53Z</dcterms:modified>
</cp:coreProperties>
</file>